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390" windowWidth="11085" windowHeight="9255" tabRatio="650" activeTab="0"/>
  </bookViews>
  <sheets>
    <sheet name="COBERTURA DE QUADRA" sheetId="1" r:id="rId1"/>
    <sheet name="MEMOR. CALCULO" sheetId="2" r:id="rId2"/>
    <sheet name="COMPOSIÇÃO" sheetId="3" r:id="rId3"/>
    <sheet name="CRONOGRAMA" sheetId="4" r:id="rId4"/>
  </sheets>
  <definedNames>
    <definedName name="_xlnm.Print_Area" localSheetId="0">'COBERTURA DE QUADRA'!$A$1:$I$115</definedName>
    <definedName name="_xlnm.Print_Area" localSheetId="2">'COMPOSIÇÃO'!$A$1:$G$36</definedName>
    <definedName name="_xlnm.Print_Area" localSheetId="1">'MEMOR. CALCULO'!$A$1:$D$141</definedName>
  </definedNames>
  <calcPr fullCalcOnLoad="1"/>
</workbook>
</file>

<file path=xl/sharedStrings.xml><?xml version="1.0" encoding="utf-8"?>
<sst xmlns="http://schemas.openxmlformats.org/spreadsheetml/2006/main" count="553" uniqueCount="273">
  <si>
    <t>ITEM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</si>
  <si>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</si>
  <si>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</si>
  <si>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</si>
  <si>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</si>
  <si>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</si>
  <si>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</si>
  <si>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Subtotal item 1.0</t>
  </si>
  <si>
    <t>Subtotal item 2.0</t>
  </si>
  <si>
    <t>Subtotal item 3.0</t>
  </si>
  <si>
    <t xml:space="preserve"> FUNDAÇÃO</t>
  </si>
  <si>
    <t>MOVIMENTO DE TERRA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</si>
  <si>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</si>
  <si>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</si>
  <si>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</si>
  <si>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</si>
  <si>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</si>
  <si>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</si>
  <si>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</si>
  <si>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</si>
  <si>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</si>
  <si>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</si>
  <si>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</si>
  <si>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</si>
  <si>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</si>
  <si>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</si>
  <si>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6.1</t>
  </si>
  <si>
    <t>6.2</t>
  </si>
  <si>
    <t>6.3</t>
  </si>
  <si>
    <t>6.4</t>
  </si>
  <si>
    <t>6.5</t>
  </si>
  <si>
    <t>7.1</t>
  </si>
  <si>
    <t>SERVIÇOS DIVERSOS</t>
  </si>
  <si>
    <t>Subtotal item 4.0</t>
  </si>
  <si>
    <t>Subtotal item 5.0</t>
  </si>
  <si>
    <t>Subtotal item 6.0</t>
  </si>
  <si>
    <t>Subtotal item 7.0</t>
  </si>
  <si>
    <t>4.3</t>
  </si>
  <si>
    <t>4.4</t>
  </si>
  <si>
    <t>4.5</t>
  </si>
  <si>
    <t>5.3</t>
  </si>
  <si>
    <t>5.4</t>
  </si>
  <si>
    <t>6.6</t>
  </si>
  <si>
    <t>Custo Total com BDI incluso</t>
  </si>
  <si>
    <t>SINAPI</t>
  </si>
  <si>
    <t>CÓDIGO</t>
  </si>
  <si>
    <t>FONTE</t>
  </si>
  <si>
    <t>8.1</t>
  </si>
  <si>
    <t>Subtotal item 8.0</t>
  </si>
  <si>
    <t>ESTRUTURA METÁLICA E COBERTURA</t>
  </si>
  <si>
    <t>CONCRETO ARMADO PARA FUNDAÇÕES - BLOCOS</t>
  </si>
  <si>
    <t>CONCRETO ARMADO PARA FUNDAÇÕES - VIGAS BALDRAMES</t>
  </si>
  <si>
    <t>3.4</t>
  </si>
  <si>
    <t>3.5</t>
  </si>
  <si>
    <t>3.6</t>
  </si>
  <si>
    <t>3.7</t>
  </si>
  <si>
    <t>3.8</t>
  </si>
  <si>
    <t>3.9</t>
  </si>
  <si>
    <t>3.10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</si>
  <si>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</si>
  <si>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</si>
  <si>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</si>
  <si>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</si>
  <si>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</si>
  <si>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</si>
  <si>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</si>
  <si>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</si>
  <si>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</si>
  <si>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</si>
  <si>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</si>
  <si>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</si>
  <si>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INSTALAÇÕES ELÉTRICAS - 220V</t>
  </si>
  <si>
    <t>7.2</t>
  </si>
  <si>
    <t>SISTEMA DE PROTEÇÃO CONTRA DESCARGA ATMOSFÉRICA (SPDA)</t>
  </si>
  <si>
    <t>MEMORIAL DE CALCULO</t>
  </si>
  <si>
    <t>DESCRIÇÃO</t>
  </si>
  <si>
    <t>UN.</t>
  </si>
  <si>
    <t>1.0</t>
  </si>
  <si>
    <t>SERVIÇOS PRELIMINARES</t>
  </si>
  <si>
    <t>PLACA DE OBRA - PADRÃO GOVERNO FEDERAL</t>
  </si>
  <si>
    <t/>
  </si>
  <si>
    <t>LOCAÇÃO DE CONSTRUÇÃO COM GABARITO DE MADEIRA</t>
  </si>
  <si>
    <t>LIGAÇÃO PROVISÓRIA DE ENERGIA ELÉTRICA EM BAIXA TENSÃO</t>
  </si>
  <si>
    <t xml:space="preserve">LIGAÇÃO PROVISÓRIA DE ÁGUA </t>
  </si>
  <si>
    <t>CONFORME PROJETO: 1 UNIDADE</t>
  </si>
  <si>
    <t>HIDROMETRO 1,50M3/H, D=1/2" - FORNECIMENTO E INSTALACAO</t>
  </si>
  <si>
    <t>UND</t>
  </si>
  <si>
    <t>KIT CAVALETE PVC COM REGISTRO 3/4" - FORNECIMENTO E INSTALACAO</t>
  </si>
  <si>
    <t>RAMAL PREDIAL EM TUBO PEAD 20MM - FORNECIMENTO, INSTALAÇÃO, ESCAVAÇÃO</t>
  </si>
  <si>
    <t>M</t>
  </si>
  <si>
    <t>AREA DA PLACA 3*2</t>
  </si>
  <si>
    <t>M²</t>
  </si>
  <si>
    <t>AREA DO BARRACÃO = 4*3</t>
  </si>
  <si>
    <t>74217/003</t>
  </si>
  <si>
    <t>74218/001</t>
  </si>
  <si>
    <t>74253/001</t>
  </si>
  <si>
    <t>74209/001</t>
  </si>
  <si>
    <t>74077/002</t>
  </si>
  <si>
    <t>73960/001</t>
  </si>
  <si>
    <t xml:space="preserve">REGULARIZAÇÃO E COMPACTAÇÃO DO FUNDO DE VALAS </t>
  </si>
  <si>
    <t xml:space="preserve">REATERRO APILOADO DE VALA COM MATERIAL DA OBRA  </t>
  </si>
  <si>
    <t>LASTRO DE CONCRETO MAGRO (E=3,0 CM) - PREPARO MECÂNICO</t>
  </si>
  <si>
    <t>FORMA DE MADEIRA COMUM PARA FUNDAÇÕES - REAPROVEITAMENTO 5X</t>
  </si>
  <si>
    <t>CONCRETO PARA FUNDAÇÃO FCK=25MPA, INCLUINDO PREPARO, LANÇAMENTO, ADENSAMENTO.</t>
  </si>
  <si>
    <t>2.0</t>
  </si>
  <si>
    <t>M³</t>
  </si>
  <si>
    <t>KG</t>
  </si>
  <si>
    <t>73907/006</t>
  </si>
  <si>
    <t>ÁREA DA FORMA 48,54 M² CONFORME PROJETO ESTRUTURAL</t>
  </si>
  <si>
    <t>ÁREA DA FORMA 111,20 M² CONFORME PROJETO ESTRUTURAL</t>
  </si>
  <si>
    <t>8,90 M³ CONFORME PROJETO</t>
  </si>
  <si>
    <t>ÁREA CONSTRUIDA 743,36 M²</t>
  </si>
  <si>
    <t>ALVENARIA EMBASAMENTO TIJOLO CERAMICO FURADO 10X20X20 CM</t>
  </si>
  <si>
    <t>PERIMETRO DO BALDRAME * ALTURA *LARGURA =(23,23+23,23+32,00+32,00)*0,20*0,40)</t>
  </si>
  <si>
    <t>3.11</t>
  </si>
  <si>
    <t>TELHA DE AÇO GALVANIZADO ONDULADA 0,5 MM, COR NATURAL - COBERTURA EM ARCO</t>
  </si>
  <si>
    <t>LUVA DE AÇO GALVANIZADO 3/4''</t>
  </si>
  <si>
    <t>LUVA DE AÇO GALVANIZADO 1 1/2''</t>
  </si>
  <si>
    <t>ABRAÇADEIRA METÁLICA TIPO D DE 1''</t>
  </si>
  <si>
    <t>CONDUTOR UNIPOLAR (COBRE) ISOLAÇÃO PVC/70°C 2,5 MM²</t>
  </si>
  <si>
    <t>CONDUTOR UNIPOLAR (COBRE) ISOLAÇÃO PVC/70°C 4,0 MM²</t>
  </si>
  <si>
    <t>DISJUNTOR UNIPOLAR TERMOMAGNÉTICO 10 A</t>
  </si>
  <si>
    <t>DISJUNTOR TRIPOLAR TERMOMAGNÉTICO 25 A - 5 KA</t>
  </si>
  <si>
    <t>ELETRODUTO AÇO GALVANIZADO DE 1 1/2''</t>
  </si>
  <si>
    <t>ELETRODUTO AÇO GALVANIZADO DE 3/4''</t>
  </si>
  <si>
    <t>TOMADA UNIVERSAL, 2P+T, 20A/250V, COMPLETA</t>
  </si>
  <si>
    <t>IMPERMEABILIZAÇÃO COM TINTA BETUMINOSA EM FUNDAÇÕES, BALDRAMES</t>
  </si>
  <si>
    <t>LIMPEZA GERAL</t>
  </si>
  <si>
    <t>4.0</t>
  </si>
  <si>
    <t>5.0</t>
  </si>
  <si>
    <t>6.0</t>
  </si>
  <si>
    <t>7.0</t>
  </si>
  <si>
    <t>8.0</t>
  </si>
  <si>
    <t>UN</t>
  </si>
  <si>
    <t>3.0</t>
  </si>
  <si>
    <t>CONFORME PROJETO</t>
  </si>
  <si>
    <t>ÁREA DA EDIFICAÇÃO 743,36 M²</t>
  </si>
  <si>
    <t>ÁREA DA COBERTURA 743,36 M²</t>
  </si>
  <si>
    <t>ACESSÓRIOS PARA ELETRODUTOS</t>
  </si>
  <si>
    <t>CABO UNIPOLAR</t>
  </si>
  <si>
    <t>DISPOSITIVO DE PROTEÇÃO</t>
  </si>
  <si>
    <t>ELETRODUTO DE AÇO GALVANIZADO</t>
  </si>
  <si>
    <t>LUMINÁRIA E ACESSÓRIOS</t>
  </si>
  <si>
    <t>COMPOSIÇÃO</t>
  </si>
  <si>
    <t>LUMINÁRIA INDUSTRIAL DE ALUMINIO COM LÂMPADA DE LUZ MISTA DE 500 W , REFLETOR 17", SOQUETEIRA CILÍNDRICA COM GRADIL DE ARAMADO PROTETOR, COMPLETA</t>
  </si>
  <si>
    <t>COMPOSIÇAO</t>
  </si>
  <si>
    <t>INEL</t>
  </si>
  <si>
    <t>COMPOSICAO</t>
  </si>
  <si>
    <t>88264</t>
  </si>
  <si>
    <t>ELETRICISTA COM ENCARGOS COMPLEMENTARES</t>
  </si>
  <si>
    <t>H</t>
  </si>
  <si>
    <t>88316</t>
  </si>
  <si>
    <t>SERVENTE COM ENCARGOS COMPLEMENTARES</t>
  </si>
  <si>
    <t>INSUMO</t>
  </si>
  <si>
    <t>PREÇO UNITÁRIO</t>
  </si>
  <si>
    <t>PREÇO TOTAL</t>
  </si>
  <si>
    <t>ABRACADEIRA EM ACO PARA AMARRACAO DE ELETRODUTOS, TIPO D, COM 1" E PARAFUSO DE FIXACAO</t>
  </si>
  <si>
    <t>REFERENCIA 83402</t>
  </si>
  <si>
    <r>
      <t>Município</t>
    </r>
    <r>
      <rPr>
        <sz val="9"/>
        <rFont val="Calibri"/>
        <family val="2"/>
      </rPr>
      <t>: Porto Nacional - TO</t>
    </r>
  </si>
  <si>
    <t>ANDREIA ARRUDA SANTOS</t>
  </si>
  <si>
    <t>CREA TO 206920/D</t>
  </si>
  <si>
    <t>PORTO NACIONAL - TO</t>
  </si>
  <si>
    <t>CRONOGRAMA FÍSICO FINANCEIRO</t>
  </si>
  <si>
    <t xml:space="preserve">DESCRIÇAO </t>
  </si>
  <si>
    <t>S/ BDI</t>
  </si>
  <si>
    <t>C/ BDI</t>
  </si>
  <si>
    <t>MÊS 1</t>
  </si>
  <si>
    <t>MÊS 2</t>
  </si>
  <si>
    <t>MÊS 3</t>
  </si>
  <si>
    <t>MÊS 4</t>
  </si>
  <si>
    <t>MÊS 5</t>
  </si>
  <si>
    <t>TOTAL GERAL</t>
  </si>
  <si>
    <t>TOTAL</t>
  </si>
  <si>
    <t>TOTAL ACUMULADO</t>
  </si>
  <si>
    <t>Obra: Cobertura de Quadra Poliesportiva Grande</t>
  </si>
  <si>
    <t>BDI 26,25 %</t>
  </si>
  <si>
    <t>PASSANDO DO VALOR DO CONTRATO</t>
  </si>
  <si>
    <t>VALOR DA PROPOSTA</t>
  </si>
  <si>
    <t>DIEGO OK</t>
  </si>
  <si>
    <t>1 LIGAÇÃO</t>
  </si>
  <si>
    <t>74156/003</t>
  </si>
  <si>
    <t>ESTACA A TRADO (BROCA) DIAMETRO = 20 CM, EM CONCRETO MOLDADO IN LOCO 15 MPA, SEM ARMACAO.</t>
  </si>
  <si>
    <t>73965/010</t>
  </si>
  <si>
    <t>ESCAVACAO MANUAL DE VALA EM MATERIAL DE 1A CATEGORIA ATE 1,5M EXCLUINDO ESGOTAMENTO / ESCORAMENTO</t>
  </si>
  <si>
    <t>VOLUME X QUANTIDADE DAS ESTACAS (0,049*20) + BASE X LAGURA X ALTURA X QUANTIDADE DOS BLOCOS (0,80*0,80*1,25*6)+(1,20*1,20*1,25*14) + BASE X LARGURA X COMPRIMENTO DAS VIGAS (V1=V2) (((0,60*0,40*(4,50*6))*2) + (V3=V4) (((0,60*0,40*((5,80*2)+(4,29*2))))*2) + BASE X LARGURA X ALTURA DA ESCAVAÇÃO PARA ALVENARIA DE EMBASAMENTO ( ALVENARIA DE EMBASAMENTO COM MESMO PERIMETRO DAS VIGAS BALDRAMES) (((0,60*0,40*(4,50*6))*2) + (((0,60*0,40*((5,80*2)+(4,29*2))))*2)</t>
  </si>
  <si>
    <t xml:space="preserve"> BASE X LAGURA  X QUANTIDADE DOS BLOCOS (0,80*0,80*6)+(1,20*1,20*14) + BASE X COMPRIMENTO DA ESCAVAÇÃO DAS VIGAS (V1=V2) (((0,60*(4,50*6))*2) + (V3=V4) (((0,60*((5,80*2)+(4,29*2))))*2) </t>
  </si>
  <si>
    <t>VOLUME DE ESCAVAÇÃO - VOLUME DE CONCRETO DOS BLOCOS + VIGAS (76,27-(VOLUME DE CONCRETO DOS BLOCOS  CONFORME PROJETO 30,98 + VOLUME DAS VIGAS BALDRAMES CONFORME PROJETO 8,90)</t>
  </si>
  <si>
    <t>20 ESTACAS*1,0 METROS DE PROFUNDIDADE</t>
  </si>
  <si>
    <t xml:space="preserve">DIEGO OK </t>
  </si>
  <si>
    <t>QUADRO DE DISTRIBUICAO DE ENERGIA DE EMBUTIR, EM CHAPA METALICA, PARA 3 DISJUNTORES TERMOMAGNETICOS MONOPOLARES SEM BARRAMENTO FORNECIMENTO E INSTALACAO</t>
  </si>
  <si>
    <t>QUADRO DE DISTRIBUIÇÃO</t>
  </si>
  <si>
    <t>74131/001</t>
  </si>
  <si>
    <t>HASTE COPPERWELD 5/8 X 3,0M COM CONECTOR</t>
  </si>
  <si>
    <t>QUADRO DE MEDIÇÃO - CELTINS</t>
  </si>
  <si>
    <t>MURETA DE ALVENARIA PARA QUADRO DE MEDIÇÃO</t>
  </si>
  <si>
    <t>CHAPISCO APLICADO TANTO EM PILARES E VIGAS DE CONCRETO COMO EM ALVENARIAS DE PAREDES INTERNAS, COM COLHER DE PEDREIRO. ARGAMASSA TRAÇO 1:3 COM PREPARO EM BETONEIRA 400L. AF_06/2014</t>
  </si>
  <si>
    <t>REBOCO ARGAMASSA TRACO 1:2 (CAL E AREIA FINA PENEIRADA), ESPESSURA 0,5 CM, PREPARO MANUAL DA ARGAMASSA</t>
  </si>
  <si>
    <t>area da mureta(1,50*1,00)</t>
  </si>
  <si>
    <t>area da mureta((1,50*1,00)*2)</t>
  </si>
  <si>
    <t>74246/001</t>
  </si>
  <si>
    <t>74130/001</t>
  </si>
  <si>
    <t>74130/004</t>
  </si>
  <si>
    <t>PERIMETRO DO BALDRAME * ALTURA *LARGURA =(23,23+23,23+32,00+32,00)*(0,20+(0,40*2))</t>
  </si>
  <si>
    <t>74106/001</t>
  </si>
  <si>
    <t>20 PILARES*(0,70*0,70*1,00)</t>
  </si>
  <si>
    <t>DISJUNTOR UNIPOLAR TERMOMAGNÉTICO 20 A</t>
  </si>
  <si>
    <t xml:space="preserve"> BASE X LAGURA  X QUANTIDADE DOS BLOCOS (0,80*0,80*6)+(1,20*1,20*14) + BASE X COMPRIMENTO DAS VIGAS (V1=V2) (((0,20*(4,50*6))*2) + (V3=V4) (((0,20*((5,80*2)+(4,29*2))))*2) </t>
  </si>
  <si>
    <t>ARMAÇÃO DE FUNDAÇÕES E ESTRUTURAS DE CONCRETO ARMADO, EXCETO VIGAS, PILARES E LAJES (DE EDIFÍCIOS DE MÚLTIPLOS PAVIMENTOS, EDIFICAÇÃO TÉRREA OU SOBRADO), UTILIZANDO AÇO CA-50 DE 10.0 MM - MONTAGEM. AF_12/2015</t>
  </si>
  <si>
    <t>ARMAÇÃO CA 50 COM 10% DE PERDA 212,10KG</t>
  </si>
  <si>
    <t>ARMAÇÃO DE FUNDAÇÕES E ESTRUTURAS DE CONCRETO ARMADO, EXCETO VIGAS, PILARES E LAJES (DE EDIFÍCIOS DE MÚLTIPLOS PAVIMENTOS, EDIFICAÇÃO TÉRREA
OU SOBRADO), UTILIZANDO AÇO CA-50 DE 8.0 MM - MONTAGEM. AF_12/2015</t>
  </si>
  <si>
    <t>ARMAÇÃO CA 50 COM 10% DE PERDA 3,10 KG</t>
  </si>
  <si>
    <t>3.12</t>
  </si>
  <si>
    <t>ARMAÇÃO CA 60 COM 10% DE PERDA 144,60 KG</t>
  </si>
  <si>
    <t>30,98 M³ CONFORME PROJETO</t>
  </si>
  <si>
    <t>FORMA DE MADEIRA COMUM PARA FUNDAÇÕES  - REAPROVEITAMENTO 5X</t>
  </si>
  <si>
    <t>ARMAÇÃO CA 50 COM 10% DE PERDA 224 KG</t>
  </si>
  <si>
    <t>ARMAÇÃO DE FUNDAÇÕES E ESTRUTURAS DE CONCRETO ARMADO, EXCETO VIGAS, PILARES E LAJES (DE EDIFÍCIOS DE MÚLTIPLOS PAVIMENTOS, EDIFICAÇÃO TÉRREA
OU SOBRADO), UTILIZANDO AÇO CA-60 DE 5.0 MM - MONTAGEM. AF_12/2015</t>
  </si>
  <si>
    <t>ARMAÇÃO CA 50 COM 10% DE PERDA 102,40 KG</t>
  </si>
  <si>
    <t>CONCRETO PARA REVESTIMENTO DOS PILARES</t>
  </si>
  <si>
    <t>3.13</t>
  </si>
  <si>
    <t>CONCRETAGEM DE PILARES, FCK = 25 MPA</t>
  </si>
  <si>
    <t>BASE X LARGURA X ALTURA X QUANTIDADE DOS REVESTIMENTO EM CONCRETO NOS PILARES METALICOS (0,70*0,23*1*6)+(0,70*0,25*14)</t>
  </si>
  <si>
    <t>CABO DE COBRE NU 50MM2 - FORNECIMENTO E INSTALACAO</t>
  </si>
  <si>
    <t>CABO DE COBRE NU 25MM2 - FORNECIMENTO E INSTALACAO</t>
  </si>
  <si>
    <t>TERMINAL OU CONECTOR DE PRESSAO - PARA CABO 70MM2 - FORNECIMENTO E INSTALACAO</t>
  </si>
  <si>
    <t>UNI</t>
  </si>
  <si>
    <t>ELETRODUTO RÍGIDO ROSCÁVEL, PVC, DN 32 MM (1"), PARA CIRCUITOS TERMINAIS, INSTALADO EM PAREDE - FORNECIMENTO E INSTALAÇÃO. AF_12/2015</t>
  </si>
  <si>
    <t>6.7</t>
  </si>
  <si>
    <t>OK</t>
  </si>
  <si>
    <t>CAIXA DE INSPEÇÃO PARA ATERRAMENTO</t>
  </si>
  <si>
    <t>FORMA PARA REVESTIMENTO DOS PILARES METALICOS</t>
  </si>
  <si>
    <t>3.14</t>
  </si>
  <si>
    <t>PERIMETRO X ALTURA X QUANTIDADE DE PILARES                                                                              ((( 0,70 +0,70+0,23+0,23)*1)*6)+((( 0,70 +0,70+0,25+0,25)*1)*14)</t>
  </si>
  <si>
    <t>CONFORME QUADRO DE COBERTURA DO PROJETO                                                                       12,64 M² X 6 AREAS IGUAIS</t>
  </si>
  <si>
    <t>CONFORME QUADRO DE COBERTURA DO PROJETO                                             208,64+(93,65*4)+(93,78*4)</t>
  </si>
  <si>
    <t>CONDULETE 3/4" EM LIGA DE ALUMÍNIO FUNDIDO TIPO "B" - FORNECIMENTO E INSTALAÇÃO</t>
  </si>
  <si>
    <t>73861/002</t>
  </si>
  <si>
    <t>1.5</t>
  </si>
  <si>
    <t>1.5.1</t>
  </si>
  <si>
    <t>1.5.2</t>
  </si>
  <si>
    <t>1.5.3</t>
  </si>
  <si>
    <t>( INCLUSO PARAFUSOS DE FIXAÇÃO CA COMPOSIÇÃO)</t>
  </si>
  <si>
    <t>APLICAÇÃO MANUAL DE PINTURA COM TINTA TEXTURIZADA ACRÍLICA EM PAREDES EXTERNAS DE CASAS, UMA COR. AF_06/2014</t>
  </si>
  <si>
    <t>INHI</t>
  </si>
  <si>
    <t>88267</t>
  </si>
  <si>
    <t>ENCANADOR OU BOMBEIRO HIDRÁULICO COM ENCARGOS COMPLEMENTARES</t>
  </si>
  <si>
    <t>REFERENCIA72619</t>
  </si>
  <si>
    <t>LUVA DE ACO GALVANIZADO 3/4'' - FORNECIMENTO E INSTALACAO</t>
  </si>
  <si>
    <t>LUVA DE FERRO GALVANIZADO, COM ROSCA BSP, DE 3/4"</t>
  </si>
  <si>
    <t>LUVA DE FERRO GALVANIZADO, COM ROSCA BSP, DE 1 1/2"</t>
  </si>
  <si>
    <t>LUVA DE ACO GALVANIZADO 1 1/2'' - FORNECIMENTO E INSTALACAO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</si>
  <si>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</si>
  <si>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73970/001</t>
  </si>
  <si>
    <t>Data Base: SINAPI DESONERADO FEVEREIRO/2016</t>
  </si>
  <si>
    <r>
      <t>Endereço</t>
    </r>
    <r>
      <rPr>
        <sz val="9"/>
        <rFont val="Calibri"/>
        <family val="2"/>
      </rPr>
      <t>: PRAÇA NOVA CAPITAL</t>
    </r>
  </si>
  <si>
    <t>GALPAO ABERTO EM CANTEIRO DE OBRA, COM ESTRUTURA EM MADEIRA (REAPROVEITAMENTO 3X) E TELHA ONDULADA 6MM, INCLUINDO PISO CIMENTADO COM PREPARO</t>
  </si>
  <si>
    <t>5.17</t>
  </si>
  <si>
    <t>5.18</t>
  </si>
  <si>
    <t>CABO DE COBRE FLEXÍVEL ISOLADO, 6 MM², ANTI-CHAMA 450/750 V, PARA CIRCUITOS TERMINAIS - FORNECIMENTO E INSTALAÇÃO. AF_12/2015</t>
  </si>
  <si>
    <t>PERFIL U COEFICIENTE 6,10 PERFIL L COEFICIENTE 1,73KG/M</t>
  </si>
  <si>
    <t>(PERFIL L) COMPRIMENTO DO PERFIL PILAR CENTRAL, LATERAL E DO APOIO INFERIOR DO ARCO</t>
  </si>
  <si>
    <t>(PERFIL U) PILAR CENTRAL, LATERAL E PILAR DE APOIO INFERIOR DO ARCO</t>
  </si>
  <si>
    <t>BDI:26,25%</t>
  </si>
  <si>
    <t>(PERFIL L) COMPRIMENTO DO PERFIL DO PILAR LATERAL BANZOS(0,50+0,75)*13LANCES+(0,57*2)*2LADOS DO PILAR*4 PILARES*ESCOEFICIENTE 1,83KG/M</t>
  </si>
  <si>
    <t>(PERFIL L) COMPRIMENTO DO PERFIL PILAR DO APOIO INFERIOR DO ARCO (0,54+0,58)*4*14 PILAR*ESCOEFICIENTE 1,83KG/M</t>
  </si>
  <si>
    <t>(PERFIL L)COMPRIMENTO DO PERFIL CENTRAL (0,50+0,75)*15LANCES+(0,57*2)*2LADOS DO PILAR*2 PILARES*ESCOEFICIENTE 1,83KG/M</t>
  </si>
  <si>
    <t>(PERFIL U) PILAR CENTRAL ((10,09*2)+0,57+0,20))*2PILARES*COEFICIENTE DO AÇO 5,01 KG/M</t>
  </si>
  <si>
    <t>(PERFIL U) PILAR DO APOIO INFERIOR DO ARCO (1,03*2LADOS)*14PILARES*COEFICIENTE DO AÇO 5,01 KG/M</t>
  </si>
  <si>
    <t>(PERFIL U) PILAR LATERAL (8,10+8,50+0,20+0,52)*4PILARES*COEFICIENTE DO AÇO 5,01 KG/M</t>
  </si>
  <si>
    <t xml:space="preserve"> </t>
  </si>
  <si>
    <t>ÁREA DA COBERTUTA</t>
  </si>
  <si>
    <t>TELHA ONDULADA TRANSLÚCIDA FIBRA VIDRO DE 0,5 MM</t>
  </si>
  <si>
    <r>
      <t>Obra</t>
    </r>
    <r>
      <rPr>
        <sz val="9"/>
        <rFont val="Calibri"/>
        <family val="2"/>
      </rPr>
      <t>: Cobertura de Quadra Poliesportiva Grande 1ª Etapa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</si>
</sst>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0.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?_);_(@_)"/>
    <numFmt numFmtId="182" formatCode="##.##000###"/>
    <numFmt numFmtId="183" formatCode="##.##000####"/>
    <numFmt numFmtId="184" formatCode="##.##000#"/>
    <numFmt numFmtId="185" formatCode="[$R$-416]\ #,##0.00;[Red]\-[$R$-416]\ #,##0.00"/>
    <numFmt numFmtId="186" formatCode="&quot;R$ &quot;#,##0.00"/>
    <numFmt numFmtId="187" formatCode="0.0000"/>
    <numFmt numFmtId="188" formatCode="0.000"/>
    <numFmt numFmtId="189" formatCode="0.0"/>
    <numFmt numFmtId="190" formatCode="[$-416]dddd\,\ d&quot; de &quot;mmmm&quot; de &quot;yyyy"/>
    <numFmt numFmtId="191" formatCode="_-* #,##0.000_-;\-* #,##0.000_-;_-* &quot;-&quot;???_-;_-@_-"/>
    <numFmt numFmtId="192" formatCode="#,##0.00&quot; &quot;;&quot; (&quot;#,##0.00&quot;)&quot;;&quot; -&quot;#&quot; &quot;;@&quot; &quot;"/>
    <numFmt numFmtId="193" formatCode="#,##0.00&quot; &quot;;&quot;-&quot;#,##0.00&quot; &quot;;&quot; -&quot;#&quot; &quot;;@&quot; &quot;"/>
    <numFmt numFmtId="194" formatCode="[$R$-416]&quot; &quot;#,##0.00;[Red]&quot;-&quot;[$R$-416]&quot; &quot;#,##0.00"/>
    <numFmt numFmtId="195" formatCode="&quot;R$&quot;\ #,##0.00"/>
    <numFmt numFmtId="196" formatCode="#,##0.0000"/>
    <numFmt numFmtId="197" formatCode="##.##0000"/>
    <numFmt numFmtId="198" formatCode="##.##00000"/>
    <numFmt numFmtId="199" formatCode="##.##000000"/>
    <numFmt numFmtId="200" formatCode="##.##00"/>
    <numFmt numFmtId="201" formatCode="##.##0"/>
    <numFmt numFmtId="202" formatCode="##.##"/>
    <numFmt numFmtId="203" formatCode="#,##0.000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0" borderId="0" applyNumberFormat="0" applyBorder="0" applyProtection="0">
      <alignment/>
    </xf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 applyNumberFormat="0" applyBorder="0" applyProtection="0">
      <alignment/>
    </xf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192" fontId="51" fillId="0" borderId="0" applyBorder="0" applyProtection="0">
      <alignment/>
    </xf>
    <xf numFmtId="192" fontId="51" fillId="0" borderId="0" applyBorder="0" applyProtection="0">
      <alignment/>
    </xf>
    <xf numFmtId="0" fontId="4" fillId="0" borderId="0">
      <alignment/>
      <protection/>
    </xf>
    <xf numFmtId="0" fontId="51" fillId="0" borderId="0" applyNumberFormat="0" applyBorder="0" applyProtection="0">
      <alignment/>
    </xf>
    <xf numFmtId="0" fontId="58" fillId="0" borderId="0" applyNumberFormat="0" applyBorder="0" applyProtection="0">
      <alignment/>
    </xf>
    <xf numFmtId="193" fontId="58" fillId="0" borderId="0" applyBorder="0" applyProtection="0">
      <alignment/>
    </xf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Border="0" applyProtection="0">
      <alignment/>
    </xf>
    <xf numFmtId="194" fontId="63" fillId="0" borderId="0" applyBorder="0" applyProtection="0">
      <alignment/>
    </xf>
    <xf numFmtId="0" fontId="6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2" fontId="51" fillId="0" borderId="0" applyBorder="0" applyProtection="0">
      <alignment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87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 wrapText="1"/>
      <protection/>
    </xf>
    <xf numFmtId="4" fontId="0" fillId="0" borderId="10" xfId="60" applyNumberFormat="1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4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36" fillId="34" borderId="10" xfId="0" applyFont="1" applyFill="1" applyBorder="1" applyAlignment="1">
      <alignment horizontal="center" wrapText="1"/>
    </xf>
    <xf numFmtId="49" fontId="36" fillId="34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left" wrapText="1"/>
    </xf>
    <xf numFmtId="0" fontId="37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37" fillId="36" borderId="10" xfId="60" applyNumberFormat="1" applyFont="1" applyFill="1" applyBorder="1" applyAlignment="1">
      <alignment horizontal="center" vertical="center" wrapText="1"/>
      <protection/>
    </xf>
    <xf numFmtId="4" fontId="37" fillId="36" borderId="10" xfId="60" applyNumberFormat="1" applyFont="1" applyFill="1" applyBorder="1" applyAlignment="1">
      <alignment horizontal="center" vertical="center"/>
      <protection/>
    </xf>
    <xf numFmtId="0" fontId="37" fillId="36" borderId="10" xfId="0" applyFont="1" applyFill="1" applyBorder="1" applyAlignment="1">
      <alignment horizontal="left" wrapText="1"/>
    </xf>
    <xf numFmtId="0" fontId="38" fillId="36" borderId="10" xfId="0" applyFont="1" applyFill="1" applyBorder="1" applyAlignment="1">
      <alignment horizontal="center" wrapText="1"/>
    </xf>
    <xf numFmtId="0" fontId="37" fillId="36" borderId="10" xfId="0" applyFont="1" applyFill="1" applyBorder="1" applyAlignment="1">
      <alignment horizontal="left" vertical="center" wrapText="1"/>
    </xf>
    <xf numFmtId="0" fontId="37" fillId="36" borderId="10" xfId="0" applyFont="1" applyFill="1" applyBorder="1" applyAlignment="1">
      <alignment horizontal="center" vertical="justify" wrapText="1"/>
    </xf>
    <xf numFmtId="4" fontId="37" fillId="36" borderId="10" xfId="0" applyNumberFormat="1" applyFont="1" applyFill="1" applyBorder="1" applyAlignment="1">
      <alignment horizontal="center" vertical="center"/>
    </xf>
    <xf numFmtId="2" fontId="37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2" fillId="0" borderId="0" xfId="0" applyFont="1" applyAlignment="1">
      <alignment/>
    </xf>
    <xf numFmtId="0" fontId="72" fillId="0" borderId="0" xfId="60" applyFont="1" applyFill="1" applyBorder="1" applyAlignment="1">
      <alignment horizontal="center" vertical="center" wrapText="1"/>
      <protection/>
    </xf>
    <xf numFmtId="0" fontId="72" fillId="0" borderId="0" xfId="60" applyFont="1" applyFill="1" applyBorder="1" applyAlignment="1">
      <alignment horizontal="center" vertical="center"/>
      <protection/>
    </xf>
    <xf numFmtId="0" fontId="72" fillId="0" borderId="0" xfId="60" applyFont="1" applyFill="1" applyBorder="1" applyAlignment="1">
      <alignment vertical="center"/>
      <protection/>
    </xf>
    <xf numFmtId="0" fontId="0" fillId="16" borderId="10" xfId="0" applyFont="1" applyFill="1" applyBorder="1" applyAlignment="1">
      <alignment horizontal="left" vertical="center"/>
    </xf>
    <xf numFmtId="0" fontId="38" fillId="16" borderId="10" xfId="0" applyFont="1" applyFill="1" applyBorder="1" applyAlignment="1">
      <alignment horizontal="center" wrapText="1"/>
    </xf>
    <xf numFmtId="2" fontId="0" fillId="16" borderId="10" xfId="0" applyNumberFormat="1" applyFill="1" applyBorder="1" applyAlignment="1">
      <alignment horizontal="center"/>
    </xf>
    <xf numFmtId="0" fontId="37" fillId="36" borderId="10" xfId="0" applyFont="1" applyFill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7" fillId="34" borderId="10" xfId="0" applyFont="1" applyFill="1" applyBorder="1" applyAlignment="1">
      <alignment horizontal="left" vertical="center"/>
    </xf>
    <xf numFmtId="0" fontId="36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36" fillId="36" borderId="10" xfId="0" applyFont="1" applyFill="1" applyBorder="1" applyAlignment="1">
      <alignment horizontal="left" wrapText="1"/>
    </xf>
    <xf numFmtId="0" fontId="37" fillId="36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7" fillId="16" borderId="10" xfId="60" applyFont="1" applyFill="1" applyBorder="1" applyAlignment="1">
      <alignment horizontal="center" vertical="center" wrapText="1"/>
      <protection/>
    </xf>
    <xf numFmtId="2" fontId="37" fillId="16" borderId="10" xfId="0" applyNumberFormat="1" applyFont="1" applyFill="1" applyBorder="1" applyAlignment="1">
      <alignment horizontal="center" vertical="center"/>
    </xf>
    <xf numFmtId="0" fontId="36" fillId="16" borderId="10" xfId="60" applyFont="1" applyFill="1" applyBorder="1" applyAlignment="1">
      <alignment horizontal="left" vertical="center" wrapText="1"/>
      <protection/>
    </xf>
    <xf numFmtId="2" fontId="37" fillId="1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left" vertical="center" wrapText="1"/>
      <protection/>
    </xf>
    <xf numFmtId="171" fontId="36" fillId="18" borderId="10" xfId="9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1" fontId="10" fillId="18" borderId="10" xfId="9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1" fontId="11" fillId="0" borderId="0" xfId="88" applyFont="1" applyAlignment="1">
      <alignment horizontal="center" vertical="center"/>
    </xf>
    <xf numFmtId="171" fontId="11" fillId="0" borderId="0" xfId="88" applyFont="1" applyAlignment="1">
      <alignment vertical="center"/>
    </xf>
    <xf numFmtId="173" fontId="12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1" fontId="11" fillId="0" borderId="0" xfId="88" applyFont="1" applyBorder="1" applyAlignment="1">
      <alignment horizontal="center" vertical="center"/>
    </xf>
    <xf numFmtId="171" fontId="11" fillId="0" borderId="0" xfId="88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71" fontId="11" fillId="0" borderId="11" xfId="88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12" fillId="0" borderId="1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171" fontId="11" fillId="0" borderId="14" xfId="88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71" fontId="11" fillId="0" borderId="15" xfId="88" applyFont="1" applyBorder="1" applyAlignment="1">
      <alignment horizontal="center" vertical="center"/>
    </xf>
    <xf numFmtId="173" fontId="12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71" fontId="11" fillId="0" borderId="16" xfId="88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37" borderId="18" xfId="60" applyFont="1" applyFill="1" applyBorder="1" applyAlignment="1">
      <alignment horizontal="center" vertical="center" wrapText="1"/>
      <protection/>
    </xf>
    <xf numFmtId="4" fontId="13" fillId="38" borderId="19" xfId="60" applyNumberFormat="1" applyFont="1" applyFill="1" applyBorder="1" applyAlignment="1">
      <alignment horizontal="center" vertical="center"/>
      <protection/>
    </xf>
    <xf numFmtId="0" fontId="13" fillId="37" borderId="10" xfId="60" applyFont="1" applyFill="1" applyBorder="1" applyAlignment="1">
      <alignment horizontal="center" vertical="center" wrapText="1"/>
      <protection/>
    </xf>
    <xf numFmtId="0" fontId="13" fillId="37" borderId="10" xfId="60" applyFont="1" applyFill="1" applyBorder="1" applyAlignment="1">
      <alignment horizontal="left" vertical="center" wrapText="1"/>
      <protection/>
    </xf>
    <xf numFmtId="4" fontId="12" fillId="37" borderId="10" xfId="60" applyNumberFormat="1" applyFont="1" applyFill="1" applyBorder="1" applyAlignment="1">
      <alignment vertical="center" wrapText="1"/>
      <protection/>
    </xf>
    <xf numFmtId="4" fontId="13" fillId="37" borderId="10" xfId="60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71" fontId="12" fillId="0" borderId="10" xfId="87" applyFont="1" applyFill="1" applyBorder="1" applyAlignment="1">
      <alignment horizontal="right" vertical="center"/>
    </xf>
    <xf numFmtId="4" fontId="12" fillId="0" borderId="10" xfId="87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60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1" fontId="12" fillId="0" borderId="10" xfId="87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0" applyFont="1" applyFill="1" applyBorder="1" applyAlignment="1">
      <alignment horizontal="left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left" vertical="center"/>
      <protection/>
    </xf>
    <xf numFmtId="0" fontId="12" fillId="37" borderId="10" xfId="60" applyFont="1" applyFill="1" applyBorder="1" applyAlignment="1">
      <alignment horizontal="left" vertical="center" wrapText="1"/>
      <protection/>
    </xf>
    <xf numFmtId="0" fontId="12" fillId="36" borderId="10" xfId="60" applyFont="1" applyFill="1" applyBorder="1" applyAlignment="1">
      <alignment horizontal="left" vertical="center" wrapText="1"/>
      <protection/>
    </xf>
    <xf numFmtId="0" fontId="12" fillId="36" borderId="10" xfId="60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172" fontId="12" fillId="0" borderId="11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center"/>
    </xf>
    <xf numFmtId="171" fontId="12" fillId="0" borderId="0" xfId="87" applyFont="1" applyBorder="1" applyAlignment="1">
      <alignment horizontal="center" vertical="center"/>
    </xf>
    <xf numFmtId="4" fontId="12" fillId="37" borderId="10" xfId="60" applyNumberFormat="1" applyFont="1" applyFill="1" applyBorder="1" applyAlignment="1">
      <alignment horizontal="center" vertical="center" wrapText="1"/>
      <protection/>
    </xf>
    <xf numFmtId="4" fontId="12" fillId="0" borderId="10" xfId="87" applyNumberFormat="1" applyFont="1" applyFill="1" applyBorder="1" applyAlignment="1">
      <alignment horizontal="center" vertical="center"/>
    </xf>
    <xf numFmtId="4" fontId="12" fillId="0" borderId="10" xfId="60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10" fillId="0" borderId="20" xfId="0" applyFont="1" applyBorder="1" applyAlignment="1">
      <alignment vertical="center"/>
    </xf>
    <xf numFmtId="2" fontId="13" fillId="37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1" fontId="12" fillId="0" borderId="0" xfId="88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4" fillId="0" borderId="0" xfId="0" applyFont="1" applyBorder="1" applyAlignment="1">
      <alignment/>
    </xf>
    <xf numFmtId="17" fontId="12" fillId="0" borderId="0" xfId="0" applyNumberFormat="1" applyFont="1" applyBorder="1" applyAlignment="1">
      <alignment horizontal="center" vertical="center" wrapText="1"/>
    </xf>
    <xf numFmtId="171" fontId="7" fillId="0" borderId="0" xfId="88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5" fillId="0" borderId="0" xfId="0" applyFont="1" applyBorder="1" applyAlignment="1">
      <alignment/>
    </xf>
    <xf numFmtId="17" fontId="7" fillId="0" borderId="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14" fillId="39" borderId="10" xfId="0" applyFont="1" applyFill="1" applyBorder="1" applyAlignment="1">
      <alignment/>
    </xf>
    <xf numFmtId="4" fontId="76" fillId="39" borderId="10" xfId="0" applyNumberFormat="1" applyFont="1" applyFill="1" applyBorder="1" applyAlignment="1">
      <alignment horizontal="center" vertical="center"/>
    </xf>
    <xf numFmtId="4" fontId="76" fillId="39" borderId="10" xfId="0" applyNumberFormat="1" applyFont="1" applyFill="1" applyBorder="1" applyAlignment="1">
      <alignment horizontal="center"/>
    </xf>
    <xf numFmtId="2" fontId="75" fillId="39" borderId="10" xfId="0" applyNumberFormat="1" applyFont="1" applyFill="1" applyBorder="1" applyAlignment="1">
      <alignment/>
    </xf>
    <xf numFmtId="2" fontId="7" fillId="39" borderId="10" xfId="0" applyNumberFormat="1" applyFont="1" applyFill="1" applyBorder="1" applyAlignment="1">
      <alignment/>
    </xf>
    <xf numFmtId="0" fontId="75" fillId="39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4" fontId="76" fillId="0" borderId="10" xfId="0" applyNumberFormat="1" applyFont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/>
    </xf>
    <xf numFmtId="2" fontId="75" fillId="0" borderId="10" xfId="0" applyNumberFormat="1" applyFont="1" applyBorder="1" applyAlignment="1">
      <alignment/>
    </xf>
    <xf numFmtId="10" fontId="14" fillId="0" borderId="10" xfId="0" applyNumberFormat="1" applyFont="1" applyBorder="1" applyAlignment="1">
      <alignment/>
    </xf>
    <xf numFmtId="0" fontId="76" fillId="39" borderId="10" xfId="0" applyFont="1" applyFill="1" applyBorder="1" applyAlignment="1">
      <alignment/>
    </xf>
    <xf numFmtId="2" fontId="75" fillId="39" borderId="10" xfId="69" applyNumberFormat="1" applyFont="1" applyFill="1" applyBorder="1" applyAlignment="1">
      <alignment/>
    </xf>
    <xf numFmtId="9" fontId="75" fillId="39" borderId="10" xfId="69" applyFont="1" applyFill="1" applyBorder="1" applyAlignment="1">
      <alignment/>
    </xf>
    <xf numFmtId="0" fontId="76" fillId="36" borderId="10" xfId="0" applyFont="1" applyFill="1" applyBorder="1" applyAlignment="1">
      <alignment/>
    </xf>
    <xf numFmtId="4" fontId="75" fillId="0" borderId="10" xfId="0" applyNumberFormat="1" applyFont="1" applyBorder="1" applyAlignment="1">
      <alignment horizontal="center"/>
    </xf>
    <xf numFmtId="10" fontId="76" fillId="0" borderId="10" xfId="69" applyNumberFormat="1" applyFont="1" applyBorder="1" applyAlignment="1">
      <alignment/>
    </xf>
    <xf numFmtId="9" fontId="75" fillId="0" borderId="10" xfId="69" applyFont="1" applyBorder="1" applyAlignment="1">
      <alignment/>
    </xf>
    <xf numFmtId="4" fontId="14" fillId="39" borderId="10" xfId="0" applyNumberFormat="1" applyFont="1" applyFill="1" applyBorder="1" applyAlignment="1">
      <alignment wrapText="1"/>
    </xf>
    <xf numFmtId="2" fontId="14" fillId="39" borderId="10" xfId="0" applyNumberFormat="1" applyFont="1" applyFill="1" applyBorder="1" applyAlignment="1">
      <alignment/>
    </xf>
    <xf numFmtId="2" fontId="76" fillId="39" borderId="10" xfId="0" applyNumberFormat="1" applyFont="1" applyFill="1" applyBorder="1" applyAlignment="1">
      <alignment/>
    </xf>
    <xf numFmtId="4" fontId="14" fillId="36" borderId="10" xfId="0" applyNumberFormat="1" applyFont="1" applyFill="1" applyBorder="1" applyAlignment="1">
      <alignment wrapText="1"/>
    </xf>
    <xf numFmtId="2" fontId="14" fillId="0" borderId="10" xfId="0" applyNumberFormat="1" applyFont="1" applyBorder="1" applyAlignment="1">
      <alignment/>
    </xf>
    <xf numFmtId="2" fontId="76" fillId="0" borderId="10" xfId="0" applyNumberFormat="1" applyFont="1" applyBorder="1" applyAlignment="1">
      <alignment/>
    </xf>
    <xf numFmtId="10" fontId="76" fillId="39" borderId="10" xfId="69" applyNumberFormat="1" applyFont="1" applyFill="1" applyBorder="1" applyAlignment="1">
      <alignment/>
    </xf>
    <xf numFmtId="9" fontId="76" fillId="39" borderId="10" xfId="69" applyFont="1" applyFill="1" applyBorder="1" applyAlignment="1">
      <alignment/>
    </xf>
    <xf numFmtId="10" fontId="75" fillId="39" borderId="10" xfId="69" applyNumberFormat="1" applyFont="1" applyFill="1" applyBorder="1" applyAlignment="1">
      <alignment/>
    </xf>
    <xf numFmtId="9" fontId="76" fillId="0" borderId="10" xfId="69" applyFont="1" applyBorder="1" applyAlignment="1">
      <alignment/>
    </xf>
    <xf numFmtId="10" fontId="75" fillId="0" borderId="10" xfId="69" applyNumberFormat="1" applyFont="1" applyBorder="1" applyAlignment="1">
      <alignment/>
    </xf>
    <xf numFmtId="10" fontId="76" fillId="0" borderId="10" xfId="0" applyNumberFormat="1" applyFont="1" applyBorder="1" applyAlignment="1">
      <alignment/>
    </xf>
    <xf numFmtId="2" fontId="75" fillId="39" borderId="10" xfId="0" applyNumberFormat="1" applyFont="1" applyFill="1" applyBorder="1" applyAlignment="1">
      <alignment horizontal="center"/>
    </xf>
    <xf numFmtId="10" fontId="75" fillId="0" borderId="10" xfId="0" applyNumberFormat="1" applyFont="1" applyBorder="1" applyAlignment="1">
      <alignment/>
    </xf>
    <xf numFmtId="0" fontId="76" fillId="39" borderId="10" xfId="0" applyFont="1" applyFill="1" applyBorder="1" applyAlignment="1">
      <alignment horizontal="center"/>
    </xf>
    <xf numFmtId="2" fontId="76" fillId="39" borderId="10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/>
    </xf>
    <xf numFmtId="195" fontId="7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96" fontId="7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39" borderId="10" xfId="0" applyFont="1" applyFill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" fontId="14" fillId="39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right" vertical="center"/>
    </xf>
    <xf numFmtId="10" fontId="12" fillId="37" borderId="10" xfId="60" applyNumberFormat="1" applyFont="1" applyFill="1" applyBorder="1" applyAlignment="1">
      <alignment vertical="center" wrapText="1"/>
      <protection/>
    </xf>
    <xf numFmtId="4" fontId="13" fillId="38" borderId="10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/>
    </xf>
    <xf numFmtId="44" fontId="12" fillId="0" borderId="0" xfId="0" applyNumberFormat="1" applyFont="1" applyAlignment="1">
      <alignment horizontal="right" vertical="center"/>
    </xf>
    <xf numFmtId="202" fontId="12" fillId="0" borderId="0" xfId="0" applyNumberFormat="1" applyFont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12" fillId="16" borderId="10" xfId="0" applyFont="1" applyFill="1" applyBorder="1" applyAlignment="1">
      <alignment horizontal="center" vertical="center"/>
    </xf>
    <xf numFmtId="0" fontId="12" fillId="16" borderId="10" xfId="60" applyFont="1" applyFill="1" applyBorder="1" applyAlignment="1">
      <alignment horizontal="center" vertical="center" wrapText="1"/>
      <protection/>
    </xf>
    <xf numFmtId="0" fontId="12" fillId="16" borderId="10" xfId="0" applyFont="1" applyFill="1" applyBorder="1" applyAlignment="1">
      <alignment horizontal="left" vertical="center"/>
    </xf>
    <xf numFmtId="171" fontId="12" fillId="16" borderId="10" xfId="87" applyFont="1" applyFill="1" applyBorder="1" applyAlignment="1">
      <alignment horizontal="center" vertical="center"/>
    </xf>
    <xf numFmtId="2" fontId="12" fillId="16" borderId="10" xfId="0" applyNumberFormat="1" applyFont="1" applyFill="1" applyBorder="1" applyAlignment="1">
      <alignment vertical="center"/>
    </xf>
    <xf numFmtId="171" fontId="12" fillId="16" borderId="10" xfId="87" applyFont="1" applyFill="1" applyBorder="1" applyAlignment="1">
      <alignment horizontal="right" vertical="center"/>
    </xf>
    <xf numFmtId="4" fontId="12" fillId="16" borderId="10" xfId="87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center"/>
    </xf>
    <xf numFmtId="171" fontId="12" fillId="36" borderId="10" xfId="87" applyFont="1" applyFill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2" fontId="12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 quotePrefix="1">
      <alignment horizontal="right" vertical="center"/>
    </xf>
    <xf numFmtId="0" fontId="80" fillId="0" borderId="10" xfId="6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36" fillId="35" borderId="10" xfId="0" applyFont="1" applyFill="1" applyBorder="1" applyAlignment="1">
      <alignment horizontal="center" wrapText="1"/>
    </xf>
    <xf numFmtId="0" fontId="36" fillId="36" borderId="10" xfId="0" applyFont="1" applyFill="1" applyBorder="1" applyAlignment="1">
      <alignment horizontal="center" wrapText="1"/>
    </xf>
    <xf numFmtId="0" fontId="73" fillId="36" borderId="1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/>
    </xf>
    <xf numFmtId="2" fontId="49" fillId="36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2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72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0" fillId="36" borderId="10" xfId="0" applyFont="1" applyFill="1" applyBorder="1" applyAlignment="1">
      <alignment horizontal="left" wrapText="1"/>
    </xf>
    <xf numFmtId="0" fontId="72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72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4" fontId="13" fillId="37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80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Incorreto" xfId="56"/>
    <cellStyle name="Currency" xfId="57"/>
    <cellStyle name="Currency [0]" xfId="58"/>
    <cellStyle name="Neutra" xfId="59"/>
    <cellStyle name="Normal 2" xfId="60"/>
    <cellStyle name="Normal 3" xfId="61"/>
    <cellStyle name="Normal 4" xfId="62"/>
    <cellStyle name="Normal 6" xfId="63"/>
    <cellStyle name="Normal 7" xfId="64"/>
    <cellStyle name="Normal 9" xfId="65"/>
    <cellStyle name="Normal_Pesquisa no referencial 10 de maio de 2013" xfId="66"/>
    <cellStyle name="Nota" xfId="67"/>
    <cellStyle name="Percent" xfId="68"/>
    <cellStyle name="Porcentagem 2" xfId="69"/>
    <cellStyle name="Porcentagem 3" xfId="70"/>
    <cellStyle name="Porcentagem 4" xfId="71"/>
    <cellStyle name="Porcentagem 4 2" xfId="72"/>
    <cellStyle name="Result" xfId="73"/>
    <cellStyle name="Result2" xfId="74"/>
    <cellStyle name="Saída" xfId="75"/>
    <cellStyle name="Comma [0]" xfId="76"/>
    <cellStyle name="Separador de milhares 2" xfId="77"/>
    <cellStyle name="Separador de milhares 4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5" xfId="92"/>
    <cellStyle name="Vírgula 5 2" xfId="93"/>
  </cellStyles>
  <dxfs count="13"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152400</xdr:rowOff>
    </xdr:from>
    <xdr:to>
      <xdr:col>8</xdr:col>
      <xdr:colOff>819150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10687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638175</xdr:colOff>
      <xdr:row>6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267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6</xdr:col>
      <xdr:colOff>409575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6657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9</xdr:col>
      <xdr:colOff>133350</xdr:colOff>
      <xdr:row>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2172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Normal="80" zoomScaleSheetLayoutView="100" zoomScalePageLayoutView="0" workbookViewId="0" topLeftCell="A13">
      <selection activeCell="A9" sqref="A9"/>
    </sheetView>
  </sheetViews>
  <sheetFormatPr defaultColWidth="9.140625" defaultRowHeight="12.75" outlineLevelRow="1"/>
  <cols>
    <col min="1" max="1" width="7.00390625" style="127" customWidth="1"/>
    <col min="2" max="2" width="13.140625" style="127" customWidth="1"/>
    <col min="3" max="3" width="11.7109375" style="127" customWidth="1"/>
    <col min="4" max="4" width="70.7109375" style="128" customWidth="1"/>
    <col min="5" max="5" width="6.7109375" style="127" customWidth="1"/>
    <col min="6" max="6" width="10.7109375" style="140" customWidth="1"/>
    <col min="7" max="7" width="13.140625" style="72" customWidth="1"/>
    <col min="8" max="8" width="15.8515625" style="72" customWidth="1"/>
    <col min="9" max="9" width="15.7109375" style="72" customWidth="1"/>
    <col min="10" max="10" width="9.140625" style="235" customWidth="1"/>
    <col min="11" max="16384" width="9.140625" style="2" customWidth="1"/>
  </cols>
  <sheetData>
    <row r="1" spans="1:7" ht="12.75">
      <c r="A1" s="67"/>
      <c r="B1" s="67"/>
      <c r="C1" s="68"/>
      <c r="D1" s="69"/>
      <c r="E1" s="70"/>
      <c r="F1" s="69"/>
      <c r="G1" s="71"/>
    </row>
    <row r="2" spans="1:7" ht="12.75">
      <c r="A2" s="67"/>
      <c r="B2" s="67"/>
      <c r="C2" s="68"/>
      <c r="D2" s="69"/>
      <c r="E2" s="70"/>
      <c r="F2" s="69"/>
      <c r="G2" s="71"/>
    </row>
    <row r="3" spans="1:7" ht="12.75">
      <c r="A3" s="67"/>
      <c r="B3" s="67"/>
      <c r="C3" s="68"/>
      <c r="D3" s="69"/>
      <c r="E3" s="70"/>
      <c r="F3" s="69"/>
      <c r="G3" s="71"/>
    </row>
    <row r="4" spans="1:7" ht="12.75">
      <c r="A4" s="67"/>
      <c r="B4" s="67"/>
      <c r="C4" s="68"/>
      <c r="D4" s="69"/>
      <c r="E4" s="70"/>
      <c r="F4" s="69"/>
      <c r="G4" s="71"/>
    </row>
    <row r="5" spans="1:7" ht="12.75">
      <c r="A5" s="73"/>
      <c r="B5" s="73"/>
      <c r="C5" s="74"/>
      <c r="D5" s="75"/>
      <c r="E5" s="76"/>
      <c r="F5" s="75"/>
      <c r="G5" s="77"/>
    </row>
    <row r="6" spans="1:7" ht="12.75">
      <c r="A6" s="73"/>
      <c r="B6" s="73"/>
      <c r="C6" s="74"/>
      <c r="D6" s="75"/>
      <c r="E6" s="76"/>
      <c r="F6" s="75"/>
      <c r="G6" s="77"/>
    </row>
    <row r="7" spans="1:7" ht="13.5" thickBot="1">
      <c r="A7" s="73"/>
      <c r="B7" s="73"/>
      <c r="C7" s="74"/>
      <c r="D7" s="75"/>
      <c r="E7" s="76"/>
      <c r="F7" s="75"/>
      <c r="G7" s="77"/>
    </row>
    <row r="8" spans="1:9" ht="38.25" customHeight="1">
      <c r="A8" s="143" t="s">
        <v>272</v>
      </c>
      <c r="B8" s="78"/>
      <c r="C8" s="79"/>
      <c r="D8" s="80"/>
      <c r="E8" s="81"/>
      <c r="F8" s="132"/>
      <c r="G8" s="82"/>
      <c r="H8" s="273" t="s">
        <v>253</v>
      </c>
      <c r="I8" s="274"/>
    </row>
    <row r="9" spans="1:9" ht="12.75">
      <c r="A9" s="83" t="s">
        <v>158</v>
      </c>
      <c r="B9" s="84"/>
      <c r="C9" s="75"/>
      <c r="D9" s="75"/>
      <c r="E9" s="76"/>
      <c r="F9" s="133"/>
      <c r="G9" s="85"/>
      <c r="H9" s="86" t="s">
        <v>262</v>
      </c>
      <c r="I9" s="87"/>
    </row>
    <row r="10" spans="1:9" ht="13.5" thickBot="1">
      <c r="A10" s="264" t="s">
        <v>254</v>
      </c>
      <c r="B10" s="88"/>
      <c r="C10" s="89"/>
      <c r="D10" s="90"/>
      <c r="E10" s="91"/>
      <c r="F10" s="134"/>
      <c r="G10" s="92"/>
      <c r="H10" s="93"/>
      <c r="I10" s="94"/>
    </row>
    <row r="12" spans="1:10" s="1" customFormat="1" ht="19.5" customHeight="1">
      <c r="A12" s="95"/>
      <c r="B12" s="95"/>
      <c r="C12" s="95"/>
      <c r="D12" s="96"/>
      <c r="E12" s="97"/>
      <c r="F12" s="135"/>
      <c r="G12" s="98"/>
      <c r="H12" s="99"/>
      <c r="I12" s="97"/>
      <c r="J12" s="235"/>
    </row>
    <row r="13" spans="1:10" s="1" customFormat="1" ht="19.5" customHeight="1" thickBot="1">
      <c r="A13" s="97"/>
      <c r="B13" s="97"/>
      <c r="C13" s="97"/>
      <c r="D13" s="96"/>
      <c r="E13" s="97"/>
      <c r="F13" s="135"/>
      <c r="G13" s="98"/>
      <c r="H13" s="99"/>
      <c r="I13" s="98"/>
      <c r="J13" s="235"/>
    </row>
    <row r="14" spans="1:10" s="1" customFormat="1" ht="19.5" customHeight="1" thickBot="1">
      <c r="A14" s="100" t="s">
        <v>0</v>
      </c>
      <c r="B14" s="100" t="s">
        <v>45</v>
      </c>
      <c r="C14" s="100" t="s">
        <v>46</v>
      </c>
      <c r="D14" s="100" t="s">
        <v>1</v>
      </c>
      <c r="E14" s="100" t="s">
        <v>2</v>
      </c>
      <c r="F14" s="100" t="s">
        <v>3</v>
      </c>
      <c r="G14" s="101" t="s">
        <v>4</v>
      </c>
      <c r="H14" s="101" t="s">
        <v>4</v>
      </c>
      <c r="I14" s="101" t="s">
        <v>5</v>
      </c>
      <c r="J14" s="235"/>
    </row>
    <row r="15" spans="1:10" s="1" customFormat="1" ht="19.5" customHeight="1">
      <c r="A15" s="97"/>
      <c r="B15" s="97"/>
      <c r="C15" s="97"/>
      <c r="D15" s="96"/>
      <c r="E15" s="97"/>
      <c r="F15" s="135"/>
      <c r="G15" s="98"/>
      <c r="H15" s="99"/>
      <c r="I15" s="98"/>
      <c r="J15" s="235"/>
    </row>
    <row r="16" spans="1:10" s="1" customFormat="1" ht="19.5" customHeight="1">
      <c r="A16" s="144" t="str">
        <f>'MEMOR. CALCULO'!A11</f>
        <v>1.0</v>
      </c>
      <c r="B16" s="102"/>
      <c r="C16" s="102"/>
      <c r="D16" s="103" t="s">
        <v>6</v>
      </c>
      <c r="E16" s="104"/>
      <c r="F16" s="136"/>
      <c r="G16" s="104"/>
      <c r="H16" s="104"/>
      <c r="I16" s="105"/>
      <c r="J16" s="235"/>
    </row>
    <row r="17" spans="1:10" s="3" customFormat="1" ht="19.5" customHeight="1" outlineLevel="1">
      <c r="A17" s="106" t="str">
        <f>'MEMOR. CALCULO'!A12</f>
        <v>1.1</v>
      </c>
      <c r="B17" s="107" t="s">
        <v>96</v>
      </c>
      <c r="C17" s="106" t="s">
        <v>44</v>
      </c>
      <c r="D17" s="108" t="str">
        <f>'MEMOR. CALCULO'!B12</f>
        <v>PLACA DE OBRA - PADRÃO GOVERNO FEDERAL</v>
      </c>
      <c r="E17" s="109" t="str">
        <f>'MEMOR. CALCULO'!C12</f>
        <v>M²</v>
      </c>
      <c r="F17" s="116">
        <f>'MEMOR. CALCULO'!D12</f>
        <v>6</v>
      </c>
      <c r="G17" s="234">
        <v>376.38</v>
      </c>
      <c r="H17" s="110">
        <f>F17*G17</f>
        <v>2258.2799999999997</v>
      </c>
      <c r="I17" s="111"/>
      <c r="J17" s="236" t="s">
        <v>228</v>
      </c>
    </row>
    <row r="18" spans="1:10" s="3" customFormat="1" ht="36.75" customHeight="1" outlineLevel="1">
      <c r="A18" s="106" t="str">
        <f>'MEMOR. CALCULO'!A14</f>
        <v>1.2</v>
      </c>
      <c r="B18" s="107">
        <v>85253</v>
      </c>
      <c r="C18" s="106" t="s">
        <v>44</v>
      </c>
      <c r="D18" s="108" t="str">
        <f>'MEMOR. CALCULO'!B14</f>
        <v>GALPAO ABERTO EM CANTEIRO DE OBRA, COM ESTRUTURA EM MADEIRA (REAPROVEITAMENTO 3X) E TELHA ONDULADA 6MM, INCLUINDO PISO CIMENTADO COM PREPARO</v>
      </c>
      <c r="E18" s="112" t="str">
        <f>'MEMOR. CALCULO'!C14</f>
        <v>M²</v>
      </c>
      <c r="F18" s="116">
        <f>'MEMOR. CALCULO'!D14</f>
        <v>12</v>
      </c>
      <c r="G18" s="234">
        <v>165.36</v>
      </c>
      <c r="H18" s="110">
        <f>F18*G18</f>
        <v>1984.3200000000002</v>
      </c>
      <c r="I18" s="111"/>
      <c r="J18" s="236" t="s">
        <v>228</v>
      </c>
    </row>
    <row r="19" spans="1:10" s="3" customFormat="1" ht="19.5" customHeight="1" outlineLevel="1">
      <c r="A19" s="106" t="str">
        <f>'MEMOR. CALCULO'!A16</f>
        <v>1.3</v>
      </c>
      <c r="B19" s="107" t="s">
        <v>97</v>
      </c>
      <c r="C19" s="106" t="s">
        <v>44</v>
      </c>
      <c r="D19" s="108" t="str">
        <f>'MEMOR. CALCULO'!B16</f>
        <v>LOCAÇÃO DE CONSTRUÇÃO COM GABARITO DE MADEIRA</v>
      </c>
      <c r="E19" s="112" t="str">
        <f>'MEMOR. CALCULO'!C16</f>
        <v>M²</v>
      </c>
      <c r="F19" s="116">
        <f>'MEMOR. CALCULO'!D16</f>
        <v>743.36</v>
      </c>
      <c r="G19" s="234">
        <v>3.26</v>
      </c>
      <c r="H19" s="110">
        <f>F19*G19</f>
        <v>2423.3536</v>
      </c>
      <c r="I19" s="111"/>
      <c r="J19" s="236" t="s">
        <v>228</v>
      </c>
    </row>
    <row r="20" spans="1:10" s="3" customFormat="1" ht="19.5" customHeight="1" outlineLevel="1">
      <c r="A20" s="106" t="str">
        <f>'MEMOR. CALCULO'!A18</f>
        <v>1.4</v>
      </c>
      <c r="B20" s="113" t="s">
        <v>98</v>
      </c>
      <c r="C20" s="106" t="s">
        <v>44</v>
      </c>
      <c r="D20" s="108" t="str">
        <f>'MEMOR. CALCULO'!B18</f>
        <v>LIGAÇÃO PROVISÓRIA DE ENERGIA ELÉTRICA EM BAIXA TENSÃO</v>
      </c>
      <c r="E20" s="112" t="str">
        <f>'MEMOR. CALCULO'!C18</f>
        <v>UN.</v>
      </c>
      <c r="F20" s="116">
        <f>'MEMOR. CALCULO'!D20</f>
        <v>1</v>
      </c>
      <c r="G20" s="234">
        <v>1200.45</v>
      </c>
      <c r="H20" s="110">
        <f>F20*G20</f>
        <v>1200.45</v>
      </c>
      <c r="I20" s="111"/>
      <c r="J20" s="236" t="s">
        <v>228</v>
      </c>
    </row>
    <row r="21" spans="1:10" s="3" customFormat="1" ht="21" customHeight="1" outlineLevel="1">
      <c r="A21" s="225" t="str">
        <f>'MEMOR. CALCULO'!A20</f>
        <v>1.5</v>
      </c>
      <c r="B21" s="226"/>
      <c r="C21" s="225" t="s">
        <v>44</v>
      </c>
      <c r="D21" s="227" t="str">
        <f>'MEMOR. CALCULO'!B20</f>
        <v>LIGAÇÃO PROVISÓRIA DE ÁGUA </v>
      </c>
      <c r="E21" s="225" t="str">
        <f>'MEMOR. CALCULO'!C20</f>
        <v>UND</v>
      </c>
      <c r="F21" s="228"/>
      <c r="G21" s="229"/>
      <c r="H21" s="230"/>
      <c r="I21" s="231"/>
      <c r="J21" s="236"/>
    </row>
    <row r="22" spans="1:10" s="3" customFormat="1" ht="21" customHeight="1" outlineLevel="1">
      <c r="A22" s="106" t="str">
        <f>'MEMOR. CALCULO'!A22</f>
        <v>1.5.1</v>
      </c>
      <c r="B22" s="114" t="s">
        <v>93</v>
      </c>
      <c r="C22" s="106" t="s">
        <v>44</v>
      </c>
      <c r="D22" s="115" t="str">
        <f>'MEMOR. CALCULO'!B22</f>
        <v>HIDROMETRO 1,50M3/H, D=1/2" - FORNECIMENTO E INSTALACAO</v>
      </c>
      <c r="E22" s="106" t="str">
        <f>'MEMOR. CALCULO'!C22</f>
        <v>UND</v>
      </c>
      <c r="F22" s="116">
        <f>'MEMOR. CALCULO'!D22</f>
        <v>1</v>
      </c>
      <c r="G22" s="238">
        <v>78.58</v>
      </c>
      <c r="H22" s="110">
        <f>F22*G22</f>
        <v>78.58</v>
      </c>
      <c r="I22" s="111"/>
      <c r="J22" s="236" t="s">
        <v>228</v>
      </c>
    </row>
    <row r="23" spans="1:10" s="3" customFormat="1" ht="21" customHeight="1" outlineLevel="1">
      <c r="A23" s="106" t="str">
        <f>'MEMOR. CALCULO'!A23</f>
        <v>1.5.2</v>
      </c>
      <c r="B23" s="114" t="s">
        <v>94</v>
      </c>
      <c r="C23" s="106" t="s">
        <v>44</v>
      </c>
      <c r="D23" s="115" t="str">
        <f>'MEMOR. CALCULO'!B23</f>
        <v>KIT CAVALETE PVC COM REGISTRO 3/4" - FORNECIMENTO E INSTALACAO</v>
      </c>
      <c r="E23" s="106" t="str">
        <f>'MEMOR. CALCULO'!C23</f>
        <v>UND</v>
      </c>
      <c r="F23" s="116">
        <f>'MEMOR. CALCULO'!D23</f>
        <v>1</v>
      </c>
      <c r="G23" s="238">
        <v>44.92</v>
      </c>
      <c r="H23" s="110">
        <f>F23*G23</f>
        <v>44.92</v>
      </c>
      <c r="I23" s="111"/>
      <c r="J23" s="236" t="s">
        <v>228</v>
      </c>
    </row>
    <row r="24" spans="1:10" s="3" customFormat="1" ht="29.25" customHeight="1" outlineLevel="1">
      <c r="A24" s="106" t="str">
        <f>'MEMOR. CALCULO'!A24</f>
        <v>1.5.3</v>
      </c>
      <c r="B24" s="114" t="s">
        <v>95</v>
      </c>
      <c r="C24" s="106" t="s">
        <v>44</v>
      </c>
      <c r="D24" s="108" t="str">
        <f>'MEMOR. CALCULO'!B24</f>
        <v>RAMAL PREDIAL EM TUBO PEAD 20MM - FORNECIMENTO, INSTALAÇÃO, ESCAVAÇÃO</v>
      </c>
      <c r="E24" s="106" t="str">
        <f>'MEMOR. CALCULO'!C24</f>
        <v>M</v>
      </c>
      <c r="F24" s="116">
        <f>'MEMOR. CALCULO'!D24</f>
        <v>25</v>
      </c>
      <c r="G24" s="238">
        <v>15.53</v>
      </c>
      <c r="H24" s="110">
        <f>F24*G24</f>
        <v>388.25</v>
      </c>
      <c r="I24" s="111"/>
      <c r="J24" s="236" t="s">
        <v>228</v>
      </c>
    </row>
    <row r="25" spans="1:9" ht="19.5" customHeight="1" outlineLevel="1">
      <c r="A25" s="270" t="s">
        <v>7</v>
      </c>
      <c r="B25" s="270"/>
      <c r="C25" s="270"/>
      <c r="D25" s="270"/>
      <c r="E25" s="270"/>
      <c r="F25" s="270"/>
      <c r="G25" s="270"/>
      <c r="H25" s="270"/>
      <c r="I25" s="217">
        <f>SUM(H17:H24)</f>
        <v>8378.153600000001</v>
      </c>
    </row>
    <row r="26" spans="1:9" ht="19.5" customHeight="1">
      <c r="A26" s="221"/>
      <c r="B26" s="221"/>
      <c r="C26" s="221"/>
      <c r="D26" s="221"/>
      <c r="E26" s="221"/>
      <c r="F26" s="232"/>
      <c r="G26" s="221"/>
      <c r="H26" s="221"/>
      <c r="I26" s="117"/>
    </row>
    <row r="27" spans="1:9" ht="19.5" customHeight="1">
      <c r="A27" s="102" t="str">
        <f>'MEMOR. CALCULO'!A26</f>
        <v>2.0</v>
      </c>
      <c r="B27" s="102"/>
      <c r="C27" s="102"/>
      <c r="D27" s="103" t="str">
        <f>'MEMOR. CALCULO'!B26</f>
        <v>MOVIMENTO DE TERRA</v>
      </c>
      <c r="E27" s="104"/>
      <c r="F27" s="136"/>
      <c r="G27" s="104"/>
      <c r="H27" s="104"/>
      <c r="I27" s="105"/>
    </row>
    <row r="28" spans="1:10" ht="30" customHeight="1" outlineLevel="1">
      <c r="A28" s="118" t="str">
        <f>'MEMOR. CALCULO'!A27</f>
        <v>2.1</v>
      </c>
      <c r="B28" s="113" t="s">
        <v>182</v>
      </c>
      <c r="C28" s="113" t="s">
        <v>44</v>
      </c>
      <c r="D28" s="119" t="str">
        <f>'MEMOR. CALCULO'!B27</f>
        <v>ESCAVACAO MANUAL DE VALA EM MATERIAL DE 1A CATEGORIA ATE 1,5M EXCLUINDO ESGOTAMENTO / ESCORAMENTO</v>
      </c>
      <c r="E28" s="138" t="str">
        <f>'MEMOR. CALCULO'!C27</f>
        <v>M³</v>
      </c>
      <c r="F28" s="116">
        <f>'MEMOR. CALCULO'!D27</f>
        <v>76.27</v>
      </c>
      <c r="G28" s="239">
        <v>37.74</v>
      </c>
      <c r="H28" s="110">
        <f>F28*G28</f>
        <v>2878.4298</v>
      </c>
      <c r="I28" s="111"/>
      <c r="J28" s="235" t="s">
        <v>228</v>
      </c>
    </row>
    <row r="29" spans="1:10" ht="19.5" customHeight="1" outlineLevel="1">
      <c r="A29" s="118" t="str">
        <f>'MEMOR. CALCULO'!A29</f>
        <v>2.2</v>
      </c>
      <c r="B29" s="113">
        <v>79483</v>
      </c>
      <c r="C29" s="113" t="s">
        <v>44</v>
      </c>
      <c r="D29" s="119" t="str">
        <f>'MEMOR. CALCULO'!B29</f>
        <v>REGULARIZAÇÃO E COMPACTAÇÃO DO FUNDO DE VALAS </v>
      </c>
      <c r="E29" s="138" t="str">
        <f>'MEMOR. CALCULO'!C29</f>
        <v>M²</v>
      </c>
      <c r="F29" s="116">
        <f>'MEMOR. CALCULO'!D29</f>
        <v>80.62</v>
      </c>
      <c r="G29" s="234">
        <v>16.17</v>
      </c>
      <c r="H29" s="110">
        <f>F29*G29</f>
        <v>1303.6254000000001</v>
      </c>
      <c r="I29" s="111"/>
      <c r="J29" s="235" t="s">
        <v>228</v>
      </c>
    </row>
    <row r="30" spans="1:10" ht="19.5" customHeight="1" outlineLevel="1">
      <c r="A30" s="118" t="str">
        <f>'MEMOR. CALCULO'!A31</f>
        <v>2.3</v>
      </c>
      <c r="B30" s="113">
        <v>53527</v>
      </c>
      <c r="C30" s="113" t="s">
        <v>44</v>
      </c>
      <c r="D30" s="119" t="str">
        <f>'MEMOR. CALCULO'!B31</f>
        <v>REATERRO APILOADO DE VALA COM MATERIAL DA OBRA  </v>
      </c>
      <c r="E30" s="138" t="str">
        <f>'MEMOR. CALCULO'!C31</f>
        <v>M³</v>
      </c>
      <c r="F30" s="116">
        <f>'MEMOR. CALCULO'!D31</f>
        <v>36.39</v>
      </c>
      <c r="G30" s="234">
        <v>43.13</v>
      </c>
      <c r="H30" s="110">
        <f>F30*G30</f>
        <v>1569.5007</v>
      </c>
      <c r="I30" s="111"/>
      <c r="J30" s="235" t="s">
        <v>228</v>
      </c>
    </row>
    <row r="31" spans="1:10" s="5" customFormat="1" ht="19.5" customHeight="1" outlineLevel="1">
      <c r="A31" s="270" t="s">
        <v>8</v>
      </c>
      <c r="B31" s="270"/>
      <c r="C31" s="270"/>
      <c r="D31" s="270"/>
      <c r="E31" s="270"/>
      <c r="F31" s="270"/>
      <c r="G31" s="270"/>
      <c r="H31" s="270"/>
      <c r="I31" s="217">
        <f>SUM(H28:H30)</f>
        <v>5751.555899999999</v>
      </c>
      <c r="J31" s="237"/>
    </row>
    <row r="32" spans="1:10" s="5" customFormat="1" ht="19.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37"/>
    </row>
    <row r="33" spans="1:9" ht="19.5" customHeight="1">
      <c r="A33" s="102" t="str">
        <f>'MEMOR. CALCULO'!A34</f>
        <v>3.0</v>
      </c>
      <c r="B33" s="102"/>
      <c r="C33" s="102"/>
      <c r="D33" s="103" t="s">
        <v>10</v>
      </c>
      <c r="E33" s="104"/>
      <c r="F33" s="136"/>
      <c r="G33" s="104"/>
      <c r="H33" s="104"/>
      <c r="I33" s="105"/>
    </row>
    <row r="34" spans="1:10" s="4" customFormat="1" ht="19.5" customHeight="1" outlineLevel="1">
      <c r="A34" s="225"/>
      <c r="B34" s="226"/>
      <c r="C34" s="225"/>
      <c r="D34" s="233" t="str">
        <f>'MEMOR. CALCULO'!B35</f>
        <v>CONCRETO ARMADO PARA FUNDAÇÕES - BLOCOS</v>
      </c>
      <c r="E34" s="225"/>
      <c r="F34" s="226"/>
      <c r="G34" s="225"/>
      <c r="H34" s="233"/>
      <c r="I34" s="225"/>
      <c r="J34" s="236"/>
    </row>
    <row r="35" spans="1:10" s="3" customFormat="1" ht="28.5" customHeight="1" outlineLevel="1">
      <c r="A35" s="118" t="str">
        <f>'MEMOR. CALCULO'!A36</f>
        <v>3.1</v>
      </c>
      <c r="B35" s="113" t="s">
        <v>180</v>
      </c>
      <c r="C35" s="113" t="s">
        <v>44</v>
      </c>
      <c r="D35" s="119" t="str">
        <f>'MEMOR. CALCULO'!B36</f>
        <v>ESTACA A TRADO (BROCA) DIAMETRO = 20 CM, EM CONCRETO MOLDADO IN LOCO 15 MPA, SEM ARMACAO.</v>
      </c>
      <c r="E35" s="113" t="str">
        <f>'MEMOR. CALCULO'!C36</f>
        <v>M</v>
      </c>
      <c r="F35" s="137">
        <f>'MEMOR. CALCULO'!D36</f>
        <v>20</v>
      </c>
      <c r="G35" s="234">
        <v>37.25</v>
      </c>
      <c r="H35" s="110">
        <f>F35*G35</f>
        <v>745</v>
      </c>
      <c r="I35" s="111"/>
      <c r="J35" s="236" t="s">
        <v>228</v>
      </c>
    </row>
    <row r="36" spans="1:10" s="3" customFormat="1" ht="19.5" customHeight="1" outlineLevel="1">
      <c r="A36" s="118" t="str">
        <f>'MEMOR. CALCULO'!A38</f>
        <v>3.2</v>
      </c>
      <c r="B36" s="120" t="s">
        <v>107</v>
      </c>
      <c r="C36" s="113" t="s">
        <v>44</v>
      </c>
      <c r="D36" s="121" t="str">
        <f>'MEMOR. CALCULO'!B38</f>
        <v>LASTRO DE CONCRETO MAGRO (E=3,0 CM) - PREPARO MECÂNICO</v>
      </c>
      <c r="E36" s="120" t="str">
        <f>'MEMOR. CALCULO'!C38</f>
        <v>M²</v>
      </c>
      <c r="F36" s="137">
        <f>'MEMOR. CALCULO'!D38</f>
        <v>42.87</v>
      </c>
      <c r="G36" s="234">
        <v>16.62</v>
      </c>
      <c r="H36" s="110">
        <f aca="true" t="shared" si="0" ref="H36:H47">F36*G36</f>
        <v>712.4994</v>
      </c>
      <c r="I36" s="111"/>
      <c r="J36" s="236" t="s">
        <v>228</v>
      </c>
    </row>
    <row r="37" spans="1:10" s="3" customFormat="1" ht="19.5" customHeight="1" outlineLevel="1">
      <c r="A37" s="118" t="str">
        <f>'MEMOR. CALCULO'!A40</f>
        <v>3.3</v>
      </c>
      <c r="B37" s="120">
        <v>5651</v>
      </c>
      <c r="C37" s="113" t="s">
        <v>44</v>
      </c>
      <c r="D37" s="121" t="str">
        <f>'MEMOR. CALCULO'!B40</f>
        <v>FORMA DE MADEIRA COMUM PARA FUNDAÇÕES - REAPROVEITAMENTO 5X</v>
      </c>
      <c r="E37" s="120" t="str">
        <f>'MEMOR. CALCULO'!C40</f>
        <v>M²</v>
      </c>
      <c r="F37" s="137">
        <f>'MEMOR. CALCULO'!D40</f>
        <v>48.54</v>
      </c>
      <c r="G37" s="234">
        <v>27.13</v>
      </c>
      <c r="H37" s="110">
        <f t="shared" si="0"/>
        <v>1316.8901999999998</v>
      </c>
      <c r="I37" s="111"/>
      <c r="J37" s="236" t="s">
        <v>228</v>
      </c>
    </row>
    <row r="38" spans="1:10" s="3" customFormat="1" ht="37.5" customHeight="1" outlineLevel="1">
      <c r="A38" s="118" t="str">
        <f>'MEMOR. CALCULO'!A42</f>
        <v>3.4</v>
      </c>
      <c r="B38" s="120">
        <v>92919</v>
      </c>
      <c r="C38" s="113" t="s">
        <v>44</v>
      </c>
      <c r="D38" s="119" t="str">
        <f>'MEMOR. CALCULO'!B42</f>
        <v>ARMAÇÃO DE FUNDAÇÕES E ESTRUTURAS DE CONCRETO ARMADO, EXCETO VIGAS, PILARES E LAJES (DE EDIFÍCIOS DE MÚLTIPLOS PAVIMENTOS, EDIFICAÇÃO TÉRREA OU SOBRADO), UTILIZANDO AÇO CA-50 DE 10.0 MM - MONTAGEM. AF_12/2015</v>
      </c>
      <c r="E38" s="120" t="str">
        <f>'MEMOR. CALCULO'!C42</f>
        <v>KG</v>
      </c>
      <c r="F38" s="137">
        <f>'MEMOR. CALCULO'!D42</f>
        <v>212.1</v>
      </c>
      <c r="G38" s="234">
        <v>7.77</v>
      </c>
      <c r="H38" s="110">
        <f t="shared" si="0"/>
        <v>1648.0169999999998</v>
      </c>
      <c r="I38" s="111"/>
      <c r="J38" s="236" t="s">
        <v>228</v>
      </c>
    </row>
    <row r="39" spans="1:10" s="3" customFormat="1" ht="39" customHeight="1" outlineLevel="1">
      <c r="A39" s="118" t="str">
        <f>'MEMOR. CALCULO'!A44</f>
        <v>3.5</v>
      </c>
      <c r="B39" s="120">
        <v>92917</v>
      </c>
      <c r="C39" s="113" t="s">
        <v>44</v>
      </c>
      <c r="D39" s="119" t="str">
        <f>'MEMOR. CALCULO'!B44</f>
        <v>ARMAÇÃO DE FUNDAÇÕES E ESTRUTURAS DE CONCRETO ARMADO, EXCETO VIGAS, PILARES E LAJES (DE EDIFÍCIOS DE MÚLTIPLOS PAVIMENTOS, EDIFICAÇÃO TÉRREA
OU SOBRADO), UTILIZANDO AÇO CA-50 DE 8.0 MM - MONTAGEM. AF_12/2015</v>
      </c>
      <c r="E39" s="120" t="str">
        <f>'MEMOR. CALCULO'!C44</f>
        <v>KG</v>
      </c>
      <c r="F39" s="137">
        <f>'MEMOR. CALCULO'!D44</f>
        <v>3.1</v>
      </c>
      <c r="G39" s="234">
        <v>9.51</v>
      </c>
      <c r="H39" s="110">
        <f t="shared" si="0"/>
        <v>29.481</v>
      </c>
      <c r="I39" s="111"/>
      <c r="J39" s="236" t="s">
        <v>228</v>
      </c>
    </row>
    <row r="40" spans="1:10" s="3" customFormat="1" ht="39.75" customHeight="1" outlineLevel="1">
      <c r="A40" s="118" t="str">
        <f>'MEMOR. CALCULO'!A46</f>
        <v>3.6</v>
      </c>
      <c r="B40" s="120">
        <v>92915</v>
      </c>
      <c r="C40" s="113" t="s">
        <v>44</v>
      </c>
      <c r="D40" s="119" t="str">
        <f>'MEMOR. CALCULO'!B46</f>
        <v>ARMAÇÃO DE FUNDAÇÕES E ESTRUTURAS DE CONCRETO ARMADO, EXCETO VIGAS, PILARES E LAJES (DE EDIFÍCIOS DE MÚLTIPLOS PAVIMENTOS, EDIFICAÇÃO TÉRREA
OU SOBRADO), UTILIZANDO AÇO CA-60 DE 5.0 MM - MONTAGEM. AF_12/2015</v>
      </c>
      <c r="E40" s="113" t="str">
        <f>'MEMOR. CALCULO'!C46</f>
        <v>KG</v>
      </c>
      <c r="F40" s="113">
        <f>'MEMOR. CALCULO'!D46</f>
        <v>144.6</v>
      </c>
      <c r="G40" s="234">
        <v>10.55</v>
      </c>
      <c r="H40" s="110">
        <f t="shared" si="0"/>
        <v>1525.53</v>
      </c>
      <c r="I40" s="111"/>
      <c r="J40" s="236" t="s">
        <v>228</v>
      </c>
    </row>
    <row r="41" spans="1:10" s="3" customFormat="1" ht="30" customHeight="1" outlineLevel="1">
      <c r="A41" s="118" t="str">
        <f>'MEMOR. CALCULO'!A48</f>
        <v>3.7</v>
      </c>
      <c r="B41" s="120">
        <v>92718</v>
      </c>
      <c r="C41" s="113" t="s">
        <v>44</v>
      </c>
      <c r="D41" s="119" t="str">
        <f>'MEMOR. CALCULO'!B48</f>
        <v>CONCRETO PARA FUNDAÇÃO FCK=25MPA, INCLUINDO PREPARO, LANÇAMENTO, ADENSAMENTO.</v>
      </c>
      <c r="E41" s="120" t="str">
        <f>'MEMOR. CALCULO'!C48</f>
        <v>M³</v>
      </c>
      <c r="F41" s="137">
        <f>'MEMOR. CALCULO'!D48</f>
        <v>30.98</v>
      </c>
      <c r="G41" s="234">
        <v>430.13</v>
      </c>
      <c r="H41" s="110">
        <f t="shared" si="0"/>
        <v>13325.4274</v>
      </c>
      <c r="I41" s="111"/>
      <c r="J41" s="236" t="s">
        <v>228</v>
      </c>
    </row>
    <row r="42" spans="1:10" s="3" customFormat="1" ht="19.5" customHeight="1" outlineLevel="1">
      <c r="A42" s="225"/>
      <c r="B42" s="226"/>
      <c r="C42" s="225"/>
      <c r="D42" s="233" t="str">
        <f>'MEMOR. CALCULO'!B50</f>
        <v>CONCRETO ARMADO PARA FUNDAÇÕES - VIGAS BALDRAMES</v>
      </c>
      <c r="E42" s="225"/>
      <c r="F42" s="226"/>
      <c r="G42" s="225"/>
      <c r="H42" s="233"/>
      <c r="I42" s="225"/>
      <c r="J42" s="236"/>
    </row>
    <row r="43" spans="1:10" s="3" customFormat="1" ht="19.5" customHeight="1" outlineLevel="1">
      <c r="A43" s="118" t="str">
        <f>'MEMOR. CALCULO'!A51</f>
        <v>3.8</v>
      </c>
      <c r="B43" s="120">
        <v>5651</v>
      </c>
      <c r="C43" s="113" t="s">
        <v>44</v>
      </c>
      <c r="D43" s="121" t="str">
        <f>'MEMOR. CALCULO'!B51</f>
        <v>FORMA DE MADEIRA COMUM PARA FUNDAÇÕES  - REAPROVEITAMENTO 5X</v>
      </c>
      <c r="E43" s="120" t="str">
        <f>'MEMOR. CALCULO'!C51</f>
        <v>M³</v>
      </c>
      <c r="F43" s="137">
        <f>'MEMOR. CALCULO'!D51</f>
        <v>111.2</v>
      </c>
      <c r="G43" s="234">
        <v>27.13</v>
      </c>
      <c r="H43" s="110">
        <f t="shared" si="0"/>
        <v>3016.8559999999998</v>
      </c>
      <c r="I43" s="111"/>
      <c r="J43" s="236" t="s">
        <v>228</v>
      </c>
    </row>
    <row r="44" spans="1:10" s="3" customFormat="1" ht="42" customHeight="1" outlineLevel="1">
      <c r="A44" s="118" t="str">
        <f>'MEMOR. CALCULO'!A53</f>
        <v>3.9</v>
      </c>
      <c r="B44" s="120">
        <v>92917</v>
      </c>
      <c r="C44" s="113" t="s">
        <v>44</v>
      </c>
      <c r="D44" s="119" t="str">
        <f>'MEMOR. CALCULO'!B53</f>
        <v>ARMAÇÃO DE FUNDAÇÕES E ESTRUTURAS DE CONCRETO ARMADO, EXCETO VIGAS, PILARES E LAJES (DE EDIFÍCIOS DE MÚLTIPLOS PAVIMENTOS, EDIFICAÇÃO TÉRREA
OU SOBRADO), UTILIZANDO AÇO CA-50 DE 8.0 MM - MONTAGEM. AF_12/2015</v>
      </c>
      <c r="E44" s="120" t="str">
        <f>'MEMOR. CALCULO'!C53</f>
        <v>KG</v>
      </c>
      <c r="F44" s="137">
        <f>'MEMOR. CALCULO'!D53</f>
        <v>224</v>
      </c>
      <c r="G44" s="234">
        <v>9.51</v>
      </c>
      <c r="H44" s="110">
        <f t="shared" si="0"/>
        <v>2130.24</v>
      </c>
      <c r="I44" s="111"/>
      <c r="J44" s="236" t="s">
        <v>228</v>
      </c>
    </row>
    <row r="45" spans="1:10" s="3" customFormat="1" ht="39" customHeight="1" outlineLevel="1">
      <c r="A45" s="118" t="str">
        <f>'MEMOR. CALCULO'!A55</f>
        <v>3.10</v>
      </c>
      <c r="B45" s="120">
        <v>92915</v>
      </c>
      <c r="C45" s="113" t="s">
        <v>44</v>
      </c>
      <c r="D45" s="119" t="str">
        <f>'MEMOR. CALCULO'!B55</f>
        <v>ARMAÇÃO DE FUNDAÇÕES E ESTRUTURAS DE CONCRETO ARMADO, EXCETO VIGAS, PILARES E LAJES (DE EDIFÍCIOS DE MÚLTIPLOS PAVIMENTOS, EDIFICAÇÃO TÉRREA
OU SOBRADO), UTILIZANDO AÇO CA-60 DE 5.0 MM - MONTAGEM. AF_12/2015</v>
      </c>
      <c r="E45" s="120" t="str">
        <f>'MEMOR. CALCULO'!C55</f>
        <v>KG</v>
      </c>
      <c r="F45" s="137">
        <f>'MEMOR. CALCULO'!D55</f>
        <v>102.4</v>
      </c>
      <c r="G45" s="234">
        <v>10.55</v>
      </c>
      <c r="H45" s="110">
        <f t="shared" si="0"/>
        <v>1080.3200000000002</v>
      </c>
      <c r="I45" s="111"/>
      <c r="J45" s="236" t="s">
        <v>228</v>
      </c>
    </row>
    <row r="46" spans="1:10" s="3" customFormat="1" ht="30" customHeight="1" outlineLevel="1">
      <c r="A46" s="118" t="str">
        <f>'MEMOR. CALCULO'!A57</f>
        <v>3.11</v>
      </c>
      <c r="B46" s="120">
        <v>92718</v>
      </c>
      <c r="C46" s="113" t="s">
        <v>44</v>
      </c>
      <c r="D46" s="119" t="str">
        <f>'MEMOR. CALCULO'!B57</f>
        <v>CONCRETO PARA FUNDAÇÃO FCK=25MPA, INCLUINDO PREPARO, LANÇAMENTO, ADENSAMENTO.</v>
      </c>
      <c r="E46" s="120" t="str">
        <f>'MEMOR. CALCULO'!C57</f>
        <v>M³</v>
      </c>
      <c r="F46" s="137">
        <f>'MEMOR. CALCULO'!D57</f>
        <v>8.9</v>
      </c>
      <c r="G46" s="234">
        <v>430.13</v>
      </c>
      <c r="H46" s="110">
        <f t="shared" si="0"/>
        <v>3828.157</v>
      </c>
      <c r="I46" s="111"/>
      <c r="J46" s="236" t="s">
        <v>228</v>
      </c>
    </row>
    <row r="47" spans="1:10" s="3" customFormat="1" ht="30" customHeight="1" outlineLevel="1">
      <c r="A47" s="118" t="str">
        <f>'MEMOR. CALCULO'!A59</f>
        <v>3.12</v>
      </c>
      <c r="B47" s="120">
        <v>83519</v>
      </c>
      <c r="C47" s="113" t="s">
        <v>44</v>
      </c>
      <c r="D47" s="119" t="str">
        <f>'MEMOR. CALCULO'!B59</f>
        <v>ALVENARIA EMBASAMENTO TIJOLO CERAMICO FURADO 10X20X20 CM</v>
      </c>
      <c r="E47" s="120" t="str">
        <f>'MEMOR. CALCULO'!C59</f>
        <v>M²</v>
      </c>
      <c r="F47" s="137">
        <f>'MEMOR. CALCULO'!D59</f>
        <v>8.84</v>
      </c>
      <c r="G47" s="234">
        <v>385.51</v>
      </c>
      <c r="H47" s="110">
        <f t="shared" si="0"/>
        <v>3407.9084</v>
      </c>
      <c r="I47" s="111"/>
      <c r="J47" s="236" t="s">
        <v>228</v>
      </c>
    </row>
    <row r="48" spans="1:10" s="3" customFormat="1" ht="21" customHeight="1" outlineLevel="1">
      <c r="A48" s="225"/>
      <c r="B48" s="226"/>
      <c r="C48" s="225"/>
      <c r="D48" s="233" t="str">
        <f>'MEMOR. CALCULO'!B61</f>
        <v>CONCRETO PARA REVESTIMENTO DOS PILARES</v>
      </c>
      <c r="E48" s="225"/>
      <c r="F48" s="226"/>
      <c r="G48" s="225"/>
      <c r="H48" s="233"/>
      <c r="I48" s="225"/>
      <c r="J48" s="236"/>
    </row>
    <row r="49" spans="1:10" s="3" customFormat="1" ht="18" customHeight="1" outlineLevel="1">
      <c r="A49" s="118" t="str">
        <f>'MEMOR. CALCULO'!A62</f>
        <v>3.13</v>
      </c>
      <c r="B49" s="120">
        <v>92718</v>
      </c>
      <c r="C49" s="113" t="s">
        <v>44</v>
      </c>
      <c r="D49" s="119" t="str">
        <f>'MEMOR. CALCULO'!B62</f>
        <v>CONCRETAGEM DE PILARES, FCK = 25 MPA</v>
      </c>
      <c r="E49" s="120" t="str">
        <f>'MEMOR. CALCULO'!C62</f>
        <v>M³</v>
      </c>
      <c r="F49" s="137">
        <f>'MEMOR. CALCULO'!D62</f>
        <v>3.42</v>
      </c>
      <c r="G49" s="234">
        <v>430.13</v>
      </c>
      <c r="H49" s="110">
        <f>G49*F49</f>
        <v>1471.0446</v>
      </c>
      <c r="I49" s="111"/>
      <c r="J49" s="236" t="s">
        <v>228</v>
      </c>
    </row>
    <row r="50" spans="1:10" s="3" customFormat="1" ht="18" customHeight="1" outlineLevel="1">
      <c r="A50" s="118" t="str">
        <f>'MEMOR. CALCULO'!A64</f>
        <v>3.14</v>
      </c>
      <c r="B50" s="120">
        <v>5651</v>
      </c>
      <c r="C50" s="113" t="s">
        <v>44</v>
      </c>
      <c r="D50" s="119" t="str">
        <f>'MEMOR. CALCULO'!B64</f>
        <v>FORMA PARA REVESTIMENTO DOS PILARES METALICOS</v>
      </c>
      <c r="E50" s="113" t="str">
        <f>'MEMOR. CALCULO'!C64</f>
        <v>M²</v>
      </c>
      <c r="F50" s="113">
        <f>'MEMOR. CALCULO'!D64</f>
        <v>37.76</v>
      </c>
      <c r="G50" s="234">
        <v>27.13</v>
      </c>
      <c r="H50" s="110">
        <f>G50*F50</f>
        <v>1024.4288</v>
      </c>
      <c r="I50" s="111"/>
      <c r="J50" s="236" t="s">
        <v>228</v>
      </c>
    </row>
    <row r="51" spans="1:10" s="3" customFormat="1" ht="19.5" customHeight="1" outlineLevel="1">
      <c r="A51" s="270" t="s">
        <v>9</v>
      </c>
      <c r="B51" s="270"/>
      <c r="C51" s="270"/>
      <c r="D51" s="270"/>
      <c r="E51" s="270"/>
      <c r="F51" s="270"/>
      <c r="G51" s="270"/>
      <c r="H51" s="270"/>
      <c r="I51" s="217">
        <f>SUM(H35:H50)</f>
        <v>35261.7998</v>
      </c>
      <c r="J51" s="236"/>
    </row>
    <row r="52" spans="1:10" s="3" customFormat="1" ht="19.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36"/>
    </row>
    <row r="53" spans="1:10" s="3" customFormat="1" ht="19.5" customHeight="1">
      <c r="A53" s="144" t="str">
        <f>'MEMOR. CALCULO'!A67</f>
        <v>4.0</v>
      </c>
      <c r="B53" s="102"/>
      <c r="C53" s="102"/>
      <c r="D53" s="122" t="str">
        <f>'MEMOR. CALCULO'!B67</f>
        <v>ESTRUTURA METÁLICA E COBERTURA</v>
      </c>
      <c r="E53" s="104"/>
      <c r="F53" s="136"/>
      <c r="G53" s="104"/>
      <c r="H53" s="104"/>
      <c r="I53" s="105"/>
      <c r="J53" s="236"/>
    </row>
    <row r="54" spans="1:10" s="3" customFormat="1" ht="53.25" customHeight="1" outlineLevel="1">
      <c r="A54" s="106" t="str">
        <f>'MEMOR. CALCULO'!A68</f>
        <v>4.1</v>
      </c>
      <c r="B54" s="106">
        <v>72114</v>
      </c>
      <c r="C54" s="106" t="s">
        <v>44</v>
      </c>
      <c r="D54" s="123" t="str">
        <f>'MEMOR. CALCULO'!B68</f>
        <v>ESTRUTURA METALICA EM TESOURAS OU TRELICAS, VAO LIVRE DE 30M, FORNECIMENTO E MONTAGEM, NAO SENDO CONSIDERADOS OS FECHAMENTOS METALICOS, AS COLUNAS, OS SERVICOS GERAIS EM ALVENARIA E CONCRETO, AS TELHAS DE COBERTURA E A PINTURA DE ACABAMENTO</v>
      </c>
      <c r="E54" s="106" t="str">
        <f>'MEMOR. CALCULO'!C68</f>
        <v>M²</v>
      </c>
      <c r="F54" s="109">
        <f>'MEMOR. CALCULO'!D68</f>
        <v>743.36</v>
      </c>
      <c r="G54" s="234">
        <v>88.54</v>
      </c>
      <c r="H54" s="110">
        <f>F54*G54</f>
        <v>65817.0944</v>
      </c>
      <c r="I54" s="111"/>
      <c r="J54" s="236" t="s">
        <v>228</v>
      </c>
    </row>
    <row r="55" spans="1:10" s="3" customFormat="1" ht="30" customHeight="1" outlineLevel="1">
      <c r="A55" s="106" t="str">
        <f>'MEMOR. CALCULO'!A70</f>
        <v>4.2</v>
      </c>
      <c r="B55" s="113">
        <v>84038</v>
      </c>
      <c r="C55" s="106" t="s">
        <v>44</v>
      </c>
      <c r="D55" s="123" t="str">
        <f>'MEMOR. CALCULO'!B70</f>
        <v>TELHA DE AÇO GALVANIZADO ONDULADA 0,5 MM, COR NATURAL - COBERTURA EM ARCO</v>
      </c>
      <c r="E55" s="106" t="str">
        <f>'MEMOR. CALCULO'!C70</f>
        <v>M²</v>
      </c>
      <c r="F55" s="109">
        <f>'MEMOR. CALCULO'!D70</f>
        <v>958.36</v>
      </c>
      <c r="G55" s="234">
        <v>54.45</v>
      </c>
      <c r="H55" s="110">
        <f>F55*G55</f>
        <v>52182.702000000005</v>
      </c>
      <c r="I55" s="111"/>
      <c r="J55" s="236" t="s">
        <v>228</v>
      </c>
    </row>
    <row r="56" spans="1:10" s="3" customFormat="1" ht="19.5" customHeight="1" outlineLevel="1">
      <c r="A56" s="106" t="str">
        <f>'MEMOR. CALCULO'!A72</f>
        <v>4.3</v>
      </c>
      <c r="B56" s="113">
        <v>41619</v>
      </c>
      <c r="C56" s="106" t="s">
        <v>44</v>
      </c>
      <c r="D56" s="123" t="str">
        <f>'MEMOR. CALCULO'!B72</f>
        <v>TELHA ONDULADA TRANSLÚCIDA FIBRA VIDRO DE 0,5 MM</v>
      </c>
      <c r="E56" s="106" t="str">
        <f>'MEMOR. CALCULO'!C72</f>
        <v>M²</v>
      </c>
      <c r="F56" s="109">
        <f>'MEMOR. CALCULO'!D72</f>
        <v>75.84</v>
      </c>
      <c r="G56" s="234">
        <v>37.52</v>
      </c>
      <c r="H56" s="110">
        <f>F56*G56</f>
        <v>2845.5168000000003</v>
      </c>
      <c r="I56" s="111"/>
      <c r="J56" s="236" t="s">
        <v>228</v>
      </c>
    </row>
    <row r="57" spans="1:10" s="3" customFormat="1" ht="27.75" customHeight="1" outlineLevel="1">
      <c r="A57" s="106" t="str">
        <f>'MEMOR. CALCULO'!A74</f>
        <v>4.4</v>
      </c>
      <c r="B57" s="113" t="s">
        <v>252</v>
      </c>
      <c r="C57" s="106" t="s">
        <v>44</v>
      </c>
      <c r="D57" s="123" t="str">
        <f>'MEMOR. CALCULO'!B74</f>
        <v>(PERFIL U) PILAR CENTRAL, LATERAL E PILAR DE APOIO INFERIOR DO ARCO</v>
      </c>
      <c r="E57" s="123" t="str">
        <f>'MEMOR. CALCULO'!C74</f>
        <v>KG</v>
      </c>
      <c r="F57" s="123">
        <f>'MEMOR. CALCULO'!D74</f>
        <v>701.5</v>
      </c>
      <c r="G57" s="234">
        <v>7.48</v>
      </c>
      <c r="H57" s="234">
        <f>F57*G57</f>
        <v>5247.22</v>
      </c>
      <c r="I57" s="111"/>
      <c r="J57" s="236" t="s">
        <v>228</v>
      </c>
    </row>
    <row r="58" spans="1:10" s="3" customFormat="1" ht="36.75" customHeight="1" outlineLevel="1">
      <c r="A58" s="106" t="str">
        <f>'MEMOR. CALCULO'!A79</f>
        <v>4.5</v>
      </c>
      <c r="B58" s="113" t="s">
        <v>252</v>
      </c>
      <c r="C58" s="106" t="s">
        <v>44</v>
      </c>
      <c r="D58" s="123" t="str">
        <f>'MEMOR. CALCULO'!B79</f>
        <v>(PERFIL L) COMPRIMENTO DO PERFIL PILAR CENTRAL, LATERAL E DO APOIO INFERIOR DO ARCO</v>
      </c>
      <c r="E58" s="123" t="str">
        <f>'MEMOR. CALCULO'!C79</f>
        <v>KG</v>
      </c>
      <c r="F58" s="123">
        <f>'MEMOR. CALCULO'!D79</f>
        <v>514.96</v>
      </c>
      <c r="G58" s="234">
        <v>7.48</v>
      </c>
      <c r="H58" s="234">
        <f>F58*G58</f>
        <v>3851.9008000000003</v>
      </c>
      <c r="I58" s="111"/>
      <c r="J58" s="236" t="s">
        <v>228</v>
      </c>
    </row>
    <row r="59" spans="1:10" s="3" customFormat="1" ht="19.5" customHeight="1">
      <c r="A59" s="270" t="s">
        <v>33</v>
      </c>
      <c r="B59" s="270"/>
      <c r="C59" s="270"/>
      <c r="D59" s="270"/>
      <c r="E59" s="270"/>
      <c r="F59" s="270"/>
      <c r="G59" s="270"/>
      <c r="H59" s="270"/>
      <c r="I59" s="217">
        <f>SUM(H54:H58)</f>
        <v>129944.43400000001</v>
      </c>
      <c r="J59" s="236"/>
    </row>
    <row r="60" spans="1:10" s="3" customFormat="1" ht="19.5" customHeight="1">
      <c r="A60" s="221"/>
      <c r="B60" s="221"/>
      <c r="C60" s="221"/>
      <c r="D60" s="221"/>
      <c r="E60" s="221"/>
      <c r="F60" s="232"/>
      <c r="G60" s="221"/>
      <c r="H60" s="111"/>
      <c r="I60" s="117"/>
      <c r="J60" s="236"/>
    </row>
    <row r="61" spans="1:10" s="3" customFormat="1" ht="19.5" customHeight="1">
      <c r="A61" s="144" t="str">
        <f>'MEMOR. CALCULO'!A85</f>
        <v>5.0</v>
      </c>
      <c r="B61" s="102"/>
      <c r="C61" s="102"/>
      <c r="D61" s="122" t="str">
        <f>'MEMOR. CALCULO'!B85</f>
        <v>INSTALAÇÕES ELÉTRICAS - 220V</v>
      </c>
      <c r="E61" s="104"/>
      <c r="F61" s="136"/>
      <c r="G61" s="104"/>
      <c r="H61" s="104"/>
      <c r="I61" s="105"/>
      <c r="J61" s="236"/>
    </row>
    <row r="62" spans="1:10" s="3" customFormat="1" ht="19.5" customHeight="1">
      <c r="A62" s="225"/>
      <c r="B62" s="226"/>
      <c r="C62" s="225"/>
      <c r="D62" s="233" t="str">
        <f>'MEMOR. CALCULO'!B87</f>
        <v>ACESSÓRIOS PARA ELETRODUTOS</v>
      </c>
      <c r="E62" s="225"/>
      <c r="F62" s="228"/>
      <c r="G62" s="229"/>
      <c r="H62" s="230"/>
      <c r="I62" s="231"/>
      <c r="J62" s="236"/>
    </row>
    <row r="63" spans="1:10" s="3" customFormat="1" ht="19.5" customHeight="1" outlineLevel="1">
      <c r="A63" s="118" t="str">
        <f>'MEMOR. CALCULO'!A88</f>
        <v>5.1</v>
      </c>
      <c r="B63" s="107" t="s">
        <v>143</v>
      </c>
      <c r="C63" s="106" t="s">
        <v>44</v>
      </c>
      <c r="D63" s="123" t="str">
        <f>'MEMOR. CALCULO'!B88</f>
        <v>LUVA DE AÇO GALVANIZADO 3/4''</v>
      </c>
      <c r="E63" s="106" t="str">
        <f>'MEMOR. CALCULO'!C88</f>
        <v>UN</v>
      </c>
      <c r="F63" s="137">
        <f>'MEMOR. CALCULO'!D88</f>
        <v>15</v>
      </c>
      <c r="G63" s="234">
        <f>COMPOSIÇÃO!G22</f>
        <v>14.36</v>
      </c>
      <c r="H63" s="110">
        <f>F63*G63</f>
        <v>215.39999999999998</v>
      </c>
      <c r="I63" s="111"/>
      <c r="J63" s="236"/>
    </row>
    <row r="64" spans="1:10" s="3" customFormat="1" ht="19.5" customHeight="1" outlineLevel="1">
      <c r="A64" s="118" t="str">
        <f>'MEMOR. CALCULO'!A89</f>
        <v>5.2</v>
      </c>
      <c r="B64" s="107" t="s">
        <v>143</v>
      </c>
      <c r="C64" s="106" t="s">
        <v>44</v>
      </c>
      <c r="D64" s="123" t="str">
        <f>'MEMOR. CALCULO'!B89</f>
        <v>LUVA DE AÇO GALVANIZADO 1 1/2''</v>
      </c>
      <c r="E64" s="106" t="str">
        <f>'MEMOR. CALCULO'!C89</f>
        <v>UN</v>
      </c>
      <c r="F64" s="137">
        <f>'MEMOR. CALCULO'!D89</f>
        <v>1</v>
      </c>
      <c r="G64" s="234">
        <f>COMPOSIÇÃO!G29</f>
        <v>21.26</v>
      </c>
      <c r="H64" s="110">
        <f>F64*G64</f>
        <v>21.26</v>
      </c>
      <c r="I64" s="111"/>
      <c r="J64" s="236"/>
    </row>
    <row r="65" spans="1:10" s="3" customFormat="1" ht="19.5" customHeight="1" outlineLevel="1">
      <c r="A65" s="118" t="str">
        <f>'MEMOR. CALCULO'!A90</f>
        <v>5.3</v>
      </c>
      <c r="B65" s="118">
        <v>91993</v>
      </c>
      <c r="C65" s="106" t="s">
        <v>44</v>
      </c>
      <c r="D65" s="123" t="str">
        <f>'MEMOR. CALCULO'!B90</f>
        <v>TOMADA UNIVERSAL, 2P+T, 20A/250V, COMPLETA</v>
      </c>
      <c r="E65" s="106" t="str">
        <f>'MEMOR. CALCULO'!C90</f>
        <v>UN</v>
      </c>
      <c r="F65" s="137">
        <f>'MEMOR. CALCULO'!D90</f>
        <v>1</v>
      </c>
      <c r="G65" s="234">
        <v>25.27</v>
      </c>
      <c r="H65" s="110">
        <f>F65*G65</f>
        <v>25.27</v>
      </c>
      <c r="I65" s="111"/>
      <c r="J65" s="236" t="s">
        <v>228</v>
      </c>
    </row>
    <row r="66" spans="1:10" s="3" customFormat="1" ht="26.25" customHeight="1" outlineLevel="1">
      <c r="A66" s="118" t="str">
        <f>'MEMOR. CALCULO'!A91</f>
        <v>5.4</v>
      </c>
      <c r="B66" s="118" t="s">
        <v>236</v>
      </c>
      <c r="C66" s="106" t="s">
        <v>44</v>
      </c>
      <c r="D66" s="123" t="str">
        <f>'MEMOR. CALCULO'!B91</f>
        <v>CONDULETE 3/4" EM LIGA DE ALUMÍNIO FUNDIDO TIPO "B" - FORNECIMENTO E INSTALAÇÃO</v>
      </c>
      <c r="E66" s="106" t="str">
        <f>'MEMOR. CALCULO'!C91</f>
        <v>UN</v>
      </c>
      <c r="F66" s="137">
        <f>'MEMOR. CALCULO'!D91</f>
        <v>1</v>
      </c>
      <c r="G66" s="234">
        <v>11.36</v>
      </c>
      <c r="H66" s="110">
        <f>F66*G66</f>
        <v>11.36</v>
      </c>
      <c r="I66" s="111"/>
      <c r="J66" s="236" t="s">
        <v>228</v>
      </c>
    </row>
    <row r="67" spans="1:10" s="3" customFormat="1" ht="19.5" customHeight="1" outlineLevel="1">
      <c r="A67" s="225"/>
      <c r="B67" s="226"/>
      <c r="C67" s="225"/>
      <c r="D67" s="233" t="str">
        <f>'MEMOR. CALCULO'!B92</f>
        <v>CABO UNIPOLAR</v>
      </c>
      <c r="E67" s="225"/>
      <c r="F67" s="228"/>
      <c r="G67" s="229"/>
      <c r="H67" s="230"/>
      <c r="I67" s="231"/>
      <c r="J67" s="236"/>
    </row>
    <row r="68" spans="1:10" s="3" customFormat="1" ht="19.5" customHeight="1" outlineLevel="1">
      <c r="A68" s="118" t="str">
        <f>'MEMOR. CALCULO'!A93</f>
        <v>5.5</v>
      </c>
      <c r="B68" s="118">
        <v>91926</v>
      </c>
      <c r="C68" s="106" t="s">
        <v>44</v>
      </c>
      <c r="D68" s="123" t="str">
        <f>'MEMOR. CALCULO'!B93</f>
        <v>CONDUTOR UNIPOLAR (COBRE) ISOLAÇÃO PVC/70°C 2,5 MM²</v>
      </c>
      <c r="E68" s="106" t="str">
        <f>'MEMOR. CALCULO'!C93</f>
        <v>M</v>
      </c>
      <c r="F68" s="137">
        <f>'MEMOR. CALCULO'!D93</f>
        <v>1</v>
      </c>
      <c r="G68" s="234">
        <v>3.33</v>
      </c>
      <c r="H68" s="110">
        <f aca="true" t="shared" si="1" ref="H68:H78">F68*G68</f>
        <v>3.33</v>
      </c>
      <c r="I68" s="111"/>
      <c r="J68" s="236" t="s">
        <v>228</v>
      </c>
    </row>
    <row r="69" spans="1:10" s="3" customFormat="1" ht="19.5" customHeight="1" outlineLevel="1">
      <c r="A69" s="118" t="str">
        <f>'MEMOR. CALCULO'!A94</f>
        <v>5.6</v>
      </c>
      <c r="B69" s="118">
        <v>91928</v>
      </c>
      <c r="C69" s="106" t="s">
        <v>44</v>
      </c>
      <c r="D69" s="123" t="str">
        <f>'MEMOR. CALCULO'!B94</f>
        <v>CONDUTOR UNIPOLAR (COBRE) ISOLAÇÃO PVC/70°C 4,0 MM²</v>
      </c>
      <c r="E69" s="106" t="str">
        <f>'MEMOR. CALCULO'!C94</f>
        <v>M</v>
      </c>
      <c r="F69" s="137">
        <f>'MEMOR. CALCULO'!D94</f>
        <v>430</v>
      </c>
      <c r="G69" s="234">
        <v>5.11</v>
      </c>
      <c r="H69" s="110">
        <f t="shared" si="1"/>
        <v>2197.3</v>
      </c>
      <c r="I69" s="111"/>
      <c r="J69" s="236" t="s">
        <v>228</v>
      </c>
    </row>
    <row r="70" spans="1:10" s="3" customFormat="1" ht="19.5" customHeight="1" outlineLevel="1">
      <c r="A70" s="225"/>
      <c r="B70" s="226"/>
      <c r="C70" s="225"/>
      <c r="D70" s="233" t="str">
        <f>'MEMOR. CALCULO'!B95</f>
        <v>DISPOSITIVO DE PROTEÇÃO</v>
      </c>
      <c r="E70" s="225"/>
      <c r="F70" s="228"/>
      <c r="G70" s="229"/>
      <c r="H70" s="230"/>
      <c r="I70" s="231"/>
      <c r="J70" s="236"/>
    </row>
    <row r="71" spans="1:10" s="3" customFormat="1" ht="19.5" customHeight="1" outlineLevel="1">
      <c r="A71" s="118" t="str">
        <f>'MEMOR. CALCULO'!A96</f>
        <v>5.7</v>
      </c>
      <c r="B71" s="113" t="s">
        <v>200</v>
      </c>
      <c r="C71" s="106" t="s">
        <v>44</v>
      </c>
      <c r="D71" s="123" t="str">
        <f>'MEMOR. CALCULO'!B96</f>
        <v>DISJUNTOR UNIPOLAR TERMOMAGNÉTICO 10 A</v>
      </c>
      <c r="E71" s="106" t="str">
        <f>'MEMOR. CALCULO'!C96</f>
        <v>UN</v>
      </c>
      <c r="F71" s="137">
        <f>'MEMOR. CALCULO'!D96</f>
        <v>1</v>
      </c>
      <c r="G71" s="234">
        <v>12.64</v>
      </c>
      <c r="H71" s="110">
        <f t="shared" si="1"/>
        <v>12.64</v>
      </c>
      <c r="I71" s="111"/>
      <c r="J71" s="236" t="s">
        <v>228</v>
      </c>
    </row>
    <row r="72" spans="1:10" s="3" customFormat="1" ht="19.5" customHeight="1" outlineLevel="1">
      <c r="A72" s="118" t="str">
        <f>'MEMOR. CALCULO'!A97</f>
        <v>5.8</v>
      </c>
      <c r="B72" s="113" t="s">
        <v>200</v>
      </c>
      <c r="C72" s="106" t="s">
        <v>44</v>
      </c>
      <c r="D72" s="123" t="str">
        <f>'MEMOR. CALCULO'!B97</f>
        <v>DISJUNTOR UNIPOLAR TERMOMAGNÉTICO 20 A</v>
      </c>
      <c r="E72" s="106" t="str">
        <f>'MEMOR. CALCULO'!C97</f>
        <v>UN</v>
      </c>
      <c r="F72" s="137">
        <f>'MEMOR. CALCULO'!D97</f>
        <v>5</v>
      </c>
      <c r="G72" s="234">
        <v>12.64</v>
      </c>
      <c r="H72" s="110">
        <f t="shared" si="1"/>
        <v>63.2</v>
      </c>
      <c r="I72" s="111"/>
      <c r="J72" s="236" t="s">
        <v>228</v>
      </c>
    </row>
    <row r="73" spans="1:10" s="3" customFormat="1" ht="19.5" customHeight="1" outlineLevel="1">
      <c r="A73" s="118" t="str">
        <f>'MEMOR. CALCULO'!A98</f>
        <v>5.9</v>
      </c>
      <c r="B73" s="113" t="s">
        <v>201</v>
      </c>
      <c r="C73" s="106" t="s">
        <v>44</v>
      </c>
      <c r="D73" s="123" t="str">
        <f>'MEMOR. CALCULO'!B98</f>
        <v>DISJUNTOR TRIPOLAR TERMOMAGNÉTICO 25 A - 5 KA</v>
      </c>
      <c r="E73" s="106" t="str">
        <f>'MEMOR. CALCULO'!C98</f>
        <v>UN</v>
      </c>
      <c r="F73" s="137">
        <f>'MEMOR. CALCULO'!D98</f>
        <v>1</v>
      </c>
      <c r="G73" s="234">
        <v>83.4</v>
      </c>
      <c r="H73" s="110">
        <f t="shared" si="1"/>
        <v>83.4</v>
      </c>
      <c r="I73" s="111"/>
      <c r="J73" s="236" t="s">
        <v>228</v>
      </c>
    </row>
    <row r="74" spans="1:10" s="3" customFormat="1" ht="19.5" customHeight="1" outlineLevel="1">
      <c r="A74" s="225"/>
      <c r="B74" s="226"/>
      <c r="C74" s="225"/>
      <c r="D74" s="233" t="str">
        <f>'MEMOR. CALCULO'!B99</f>
        <v>ELETRODUTO DE AÇO GALVANIZADO</v>
      </c>
      <c r="E74" s="225"/>
      <c r="F74" s="228"/>
      <c r="G74" s="229"/>
      <c r="H74" s="230"/>
      <c r="I74" s="231"/>
      <c r="J74" s="236"/>
    </row>
    <row r="75" spans="1:10" s="3" customFormat="1" ht="19.5" customHeight="1" outlineLevel="1">
      <c r="A75" s="118" t="str">
        <f>'MEMOR. CALCULO'!A100</f>
        <v>5.10</v>
      </c>
      <c r="B75" s="113">
        <v>72310</v>
      </c>
      <c r="C75" s="106" t="s">
        <v>44</v>
      </c>
      <c r="D75" s="123" t="str">
        <f>'MEMOR. CALCULO'!B100</f>
        <v>ELETRODUTO AÇO GALVANIZADO DE 1 1/2''</v>
      </c>
      <c r="E75" s="106" t="str">
        <f>'MEMOR. CALCULO'!C100</f>
        <v>M</v>
      </c>
      <c r="F75" s="137">
        <f>'MEMOR. CALCULO'!D100</f>
        <v>13</v>
      </c>
      <c r="G75" s="234">
        <v>31.62</v>
      </c>
      <c r="H75" s="110">
        <f t="shared" si="1"/>
        <v>411.06</v>
      </c>
      <c r="I75" s="111"/>
      <c r="J75" s="236" t="s">
        <v>228</v>
      </c>
    </row>
    <row r="76" spans="1:10" s="3" customFormat="1" ht="19.5" customHeight="1" outlineLevel="1">
      <c r="A76" s="118" t="str">
        <f>'MEMOR. CALCULO'!A101</f>
        <v>5.11</v>
      </c>
      <c r="B76" s="113">
        <v>72308</v>
      </c>
      <c r="C76" s="106" t="s">
        <v>44</v>
      </c>
      <c r="D76" s="123" t="str">
        <f>'MEMOR. CALCULO'!B101</f>
        <v>ELETRODUTO AÇO GALVANIZADO DE 3/4''</v>
      </c>
      <c r="E76" s="106" t="str">
        <f>'MEMOR. CALCULO'!C101</f>
        <v>M</v>
      </c>
      <c r="F76" s="137">
        <f>'MEMOR. CALCULO'!D101</f>
        <v>93</v>
      </c>
      <c r="G76" s="234">
        <v>18.57</v>
      </c>
      <c r="H76" s="110">
        <f t="shared" si="1"/>
        <v>1727.01</v>
      </c>
      <c r="I76" s="111"/>
      <c r="J76" s="236" t="s">
        <v>228</v>
      </c>
    </row>
    <row r="77" spans="1:10" s="3" customFormat="1" ht="19.5" customHeight="1" outlineLevel="1">
      <c r="A77" s="225"/>
      <c r="B77" s="226"/>
      <c r="C77" s="225"/>
      <c r="D77" s="233" t="str">
        <f>'MEMOR. CALCULO'!B102</f>
        <v>LUMINÁRIA E ACESSÓRIOS</v>
      </c>
      <c r="E77" s="225"/>
      <c r="F77" s="228"/>
      <c r="G77" s="229"/>
      <c r="H77" s="230"/>
      <c r="I77" s="231"/>
      <c r="J77" s="236"/>
    </row>
    <row r="78" spans="1:10" s="3" customFormat="1" ht="39.75" customHeight="1" outlineLevel="1">
      <c r="A78" s="118" t="str">
        <f>'MEMOR. CALCULO'!A103</f>
        <v>5.12</v>
      </c>
      <c r="B78" s="113" t="s">
        <v>199</v>
      </c>
      <c r="C78" s="106" t="s">
        <v>44</v>
      </c>
      <c r="D78" s="123" t="str">
        <f>'MEMOR. CALCULO'!B103</f>
        <v>LUMINÁRIA INDUSTRIAL DE ALUMINIO COM LÂMPADA DE LUZ MISTA DE 500 W , REFLETOR 17", SOQUETEIRA CILÍNDRICA COM GRADIL DE ARAMADO PROTETOR, COMPLETA</v>
      </c>
      <c r="E78" s="106" t="str">
        <f>'MEMOR. CALCULO'!C103</f>
        <v>UN</v>
      </c>
      <c r="F78" s="137">
        <f>'MEMOR. CALCULO'!D103</f>
        <v>20</v>
      </c>
      <c r="G78" s="234">
        <v>219.69</v>
      </c>
      <c r="H78" s="110">
        <f t="shared" si="1"/>
        <v>4393.8</v>
      </c>
      <c r="I78" s="111"/>
      <c r="J78" s="236" t="s">
        <v>228</v>
      </c>
    </row>
    <row r="79" spans="1:10" s="3" customFormat="1" ht="16.5" customHeight="1" outlineLevel="1">
      <c r="A79" s="225"/>
      <c r="B79" s="226"/>
      <c r="C79" s="225"/>
      <c r="D79" s="233" t="str">
        <f>'MEMOR. CALCULO'!B104</f>
        <v>QUADRO DE DISTRIBUIÇÃO</v>
      </c>
      <c r="E79" s="225"/>
      <c r="F79" s="226"/>
      <c r="G79" s="225"/>
      <c r="H79" s="233"/>
      <c r="I79" s="225"/>
      <c r="J79" s="236"/>
    </row>
    <row r="80" spans="1:10" s="3" customFormat="1" ht="39.75" customHeight="1" outlineLevel="1">
      <c r="A80" s="118" t="str">
        <f>'MEMOR. CALCULO'!A105</f>
        <v>5.13</v>
      </c>
      <c r="B80" s="113" t="s">
        <v>191</v>
      </c>
      <c r="C80" s="106" t="s">
        <v>44</v>
      </c>
      <c r="D80" s="123" t="str">
        <f>'MEMOR. CALCULO'!B105</f>
        <v>QUADRO DE DISTRIBUICAO DE ENERGIA DE EMBUTIR, EM CHAPA METALICA, PARA 3 DISJUNTORES TERMOMAGNETICOS MONOPOLARES SEM BARRAMENTO FORNECIMENTO E INSTALACAO</v>
      </c>
      <c r="E80" s="106" t="str">
        <f>'MEMOR. CALCULO'!C105</f>
        <v>UN</v>
      </c>
      <c r="F80" s="137">
        <f>'MEMOR. CALCULO'!D105</f>
        <v>1</v>
      </c>
      <c r="G80" s="234">
        <v>43.17</v>
      </c>
      <c r="H80" s="110">
        <f>G80*F80</f>
        <v>43.17</v>
      </c>
      <c r="I80" s="111"/>
      <c r="J80" s="236" t="s">
        <v>228</v>
      </c>
    </row>
    <row r="81" spans="1:10" s="3" customFormat="1" ht="16.5" customHeight="1" outlineLevel="1">
      <c r="A81" s="118" t="str">
        <f>'MEMOR. CALCULO'!A106</f>
        <v>5.14</v>
      </c>
      <c r="B81" s="113">
        <v>68069</v>
      </c>
      <c r="C81" s="106" t="s">
        <v>44</v>
      </c>
      <c r="D81" s="123" t="str">
        <f>'MEMOR. CALCULO'!B106</f>
        <v>HASTE COPPERWELD 5/8 X 3,0M COM CONECTOR</v>
      </c>
      <c r="E81" s="106" t="str">
        <f>'MEMOR. CALCULO'!C106</f>
        <v>UN</v>
      </c>
      <c r="F81" s="137">
        <f>'MEMOR. CALCULO'!D106</f>
        <v>1</v>
      </c>
      <c r="G81" s="234">
        <v>35.97</v>
      </c>
      <c r="H81" s="110">
        <f>G81*F81</f>
        <v>35.97</v>
      </c>
      <c r="I81" s="111"/>
      <c r="J81" s="236" t="s">
        <v>228</v>
      </c>
    </row>
    <row r="82" spans="1:10" s="3" customFormat="1" ht="16.5" customHeight="1" outlineLevel="1">
      <c r="A82" s="225"/>
      <c r="B82" s="226"/>
      <c r="C82" s="225"/>
      <c r="D82" s="233" t="str">
        <f>'MEMOR. CALCULO'!B107</f>
        <v>QUADRO DE MEDIÇÃO - CELTINS</v>
      </c>
      <c r="E82" s="225"/>
      <c r="F82" s="226"/>
      <c r="G82" s="225"/>
      <c r="H82" s="233"/>
      <c r="I82" s="225"/>
      <c r="J82" s="236"/>
    </row>
    <row r="83" spans="1:10" s="3" customFormat="1" ht="16.5" customHeight="1" outlineLevel="1">
      <c r="A83" s="118" t="str">
        <f>'MEMOR. CALCULO'!A108</f>
        <v>5.15</v>
      </c>
      <c r="B83" s="113">
        <v>87504</v>
      </c>
      <c r="C83" s="106" t="s">
        <v>44</v>
      </c>
      <c r="D83" s="123" t="str">
        <f>'MEMOR. CALCULO'!B108</f>
        <v>MURETA DE ALVENARIA PARA QUADRO DE MEDIÇÃO</v>
      </c>
      <c r="E83" s="106" t="str">
        <f>'MEMOR. CALCULO'!C108</f>
        <v>M²</v>
      </c>
      <c r="F83" s="137">
        <f>'MEMOR. CALCULO'!D108</f>
        <v>1.5</v>
      </c>
      <c r="G83" s="234">
        <v>46.97</v>
      </c>
      <c r="H83" s="110">
        <f>G83*F83</f>
        <v>70.455</v>
      </c>
      <c r="I83" s="111"/>
      <c r="J83" s="236" t="s">
        <v>228</v>
      </c>
    </row>
    <row r="84" spans="1:10" s="3" customFormat="1" ht="37.5" customHeight="1" outlineLevel="1">
      <c r="A84" s="118" t="str">
        <f>'MEMOR. CALCULO'!A110</f>
        <v>5.16</v>
      </c>
      <c r="B84" s="251">
        <v>87879</v>
      </c>
      <c r="C84" s="106" t="s">
        <v>44</v>
      </c>
      <c r="D84" s="123" t="str">
        <f>'MEMOR. CALCULO'!B110</f>
        <v>CHAPISCO APLICADO TANTO EM PILARES E VIGAS DE CONCRETO COMO EM ALVENARIAS DE PAREDES INTERNAS, COM COLHER DE PEDREIRO. ARGAMASSA TRAÇO 1:3 COM PREPARO EM BETONEIRA 400L. AF_06/2014</v>
      </c>
      <c r="E84" s="106" t="str">
        <f>'MEMOR. CALCULO'!C110</f>
        <v>M²</v>
      </c>
      <c r="F84" s="137">
        <f>'MEMOR. CALCULO'!D110</f>
        <v>3</v>
      </c>
      <c r="G84" s="234">
        <v>2.5</v>
      </c>
      <c r="H84" s="110">
        <f>G84*F84</f>
        <v>7.5</v>
      </c>
      <c r="I84" s="111"/>
      <c r="J84" s="236" t="s">
        <v>228</v>
      </c>
    </row>
    <row r="85" spans="1:10" s="3" customFormat="1" ht="28.5" customHeight="1" outlineLevel="1">
      <c r="A85" s="118" t="str">
        <f>'MEMOR. CALCULO'!A112</f>
        <v>5.17</v>
      </c>
      <c r="B85" s="251">
        <v>75481</v>
      </c>
      <c r="C85" s="106" t="s">
        <v>44</v>
      </c>
      <c r="D85" s="123" t="str">
        <f>'MEMOR. CALCULO'!B112</f>
        <v>REBOCO ARGAMASSA TRACO 1:2 (CAL E AREIA FINA PENEIRADA), ESPESSURA 0,5 CM, PREPARO MANUAL DA ARGAMASSA</v>
      </c>
      <c r="E85" s="106" t="str">
        <f>'MEMOR. CALCULO'!C112</f>
        <v>M²</v>
      </c>
      <c r="F85" s="137">
        <f>'MEMOR. CALCULO'!D112</f>
        <v>3</v>
      </c>
      <c r="G85" s="234">
        <v>13.28</v>
      </c>
      <c r="H85" s="110">
        <f>G85*F85</f>
        <v>39.839999999999996</v>
      </c>
      <c r="I85" s="111"/>
      <c r="J85" s="236" t="s">
        <v>228</v>
      </c>
    </row>
    <row r="86" spans="1:10" s="3" customFormat="1" ht="28.5" customHeight="1" outlineLevel="1">
      <c r="A86" s="118" t="str">
        <f>'MEMOR. CALCULO'!A114</f>
        <v>5.18</v>
      </c>
      <c r="B86" s="251">
        <v>91930</v>
      </c>
      <c r="C86" s="106" t="s">
        <v>44</v>
      </c>
      <c r="D86" s="123" t="str">
        <f>'MEMOR. CALCULO'!B114</f>
        <v>CABO DE COBRE FLEXÍVEL ISOLADO, 6 MM², ANTI-CHAMA 450/750 V, PARA CIRCUITOS TERMINAIS - FORNECIMENTO E INSTALAÇÃO. AF_12/2015</v>
      </c>
      <c r="E86" s="124" t="str">
        <f>'MEMOR. CALCULO'!C114</f>
        <v>M</v>
      </c>
      <c r="F86" s="124">
        <f>'MEMOR. CALCULO'!D114</f>
        <v>252.84</v>
      </c>
      <c r="G86" s="234">
        <v>7.27</v>
      </c>
      <c r="H86" s="110">
        <f>G86*F86</f>
        <v>1838.1468</v>
      </c>
      <c r="I86" s="111"/>
      <c r="J86" s="236" t="s">
        <v>228</v>
      </c>
    </row>
    <row r="87" spans="1:10" s="3" customFormat="1" ht="19.5" customHeight="1" outlineLevel="1">
      <c r="A87" s="270" t="s">
        <v>34</v>
      </c>
      <c r="B87" s="270"/>
      <c r="C87" s="270"/>
      <c r="D87" s="270"/>
      <c r="E87" s="270"/>
      <c r="F87" s="270"/>
      <c r="G87" s="270"/>
      <c r="H87" s="270"/>
      <c r="I87" s="105">
        <f>SUM(H63:H86)</f>
        <v>11200.111799999999</v>
      </c>
      <c r="J87" s="236"/>
    </row>
    <row r="88" spans="1:10" s="3" customFormat="1" ht="19.5" customHeight="1">
      <c r="A88" s="221"/>
      <c r="B88" s="221"/>
      <c r="C88" s="221"/>
      <c r="D88" s="221"/>
      <c r="E88" s="221"/>
      <c r="F88" s="232"/>
      <c r="G88" s="221"/>
      <c r="H88" s="111"/>
      <c r="I88" s="117"/>
      <c r="J88" s="236"/>
    </row>
    <row r="89" spans="1:10" s="3" customFormat="1" ht="19.5" customHeight="1">
      <c r="A89" s="144" t="str">
        <f>'MEMOR. CALCULO'!A116</f>
        <v>6.0</v>
      </c>
      <c r="B89" s="102"/>
      <c r="C89" s="102"/>
      <c r="D89" s="103" t="s">
        <v>73</v>
      </c>
      <c r="E89" s="104"/>
      <c r="F89" s="136"/>
      <c r="G89" s="104"/>
      <c r="H89" s="104"/>
      <c r="I89" s="105"/>
      <c r="J89" s="236"/>
    </row>
    <row r="90" spans="1:10" s="3" customFormat="1" ht="19.5" customHeight="1" outlineLevel="1">
      <c r="A90" s="113" t="str">
        <f>'MEMOR. CALCULO'!A118</f>
        <v>6.1</v>
      </c>
      <c r="B90" s="113">
        <v>72254</v>
      </c>
      <c r="C90" s="106" t="s">
        <v>44</v>
      </c>
      <c r="D90" s="119" t="str">
        <f>'MEMOR. CALCULO'!B118</f>
        <v>CABO DE COBRE NU 50MM2 - FORNECIMENTO E INSTALACAO</v>
      </c>
      <c r="E90" s="106" t="str">
        <f>'MEMOR. CALCULO'!C118</f>
        <v>M</v>
      </c>
      <c r="F90" s="138">
        <f>'MEMOR. CALCULO'!D118</f>
        <v>150</v>
      </c>
      <c r="G90" s="234">
        <v>29.73</v>
      </c>
      <c r="H90" s="110">
        <f aca="true" t="shared" si="2" ref="H90:H96">F90*G90</f>
        <v>4459.5</v>
      </c>
      <c r="I90" s="111"/>
      <c r="J90" s="236" t="s">
        <v>228</v>
      </c>
    </row>
    <row r="91" spans="1:10" s="3" customFormat="1" ht="19.5" customHeight="1" outlineLevel="1">
      <c r="A91" s="113" t="str">
        <f>'MEMOR. CALCULO'!A119</f>
        <v>6.2</v>
      </c>
      <c r="B91" s="113">
        <v>72252</v>
      </c>
      <c r="C91" s="106" t="s">
        <v>44</v>
      </c>
      <c r="D91" s="119" t="str">
        <f>'MEMOR. CALCULO'!B119</f>
        <v>CABO DE COBRE NU 25MM2 - FORNECIMENTO E INSTALACAO</v>
      </c>
      <c r="E91" s="106" t="str">
        <f>'MEMOR. CALCULO'!C119</f>
        <v>M</v>
      </c>
      <c r="F91" s="138">
        <f>'MEMOR. CALCULO'!D119</f>
        <v>54</v>
      </c>
      <c r="G91" s="234">
        <v>15.71</v>
      </c>
      <c r="H91" s="110">
        <f t="shared" si="2"/>
        <v>848.34</v>
      </c>
      <c r="I91" s="111"/>
      <c r="J91" s="236" t="s">
        <v>228</v>
      </c>
    </row>
    <row r="92" spans="1:10" s="3" customFormat="1" ht="25.5" customHeight="1" outlineLevel="1">
      <c r="A92" s="113" t="str">
        <f>'MEMOR. CALCULO'!A120</f>
        <v>6.3</v>
      </c>
      <c r="B92" s="113">
        <v>72264</v>
      </c>
      <c r="C92" s="106" t="s">
        <v>44</v>
      </c>
      <c r="D92" s="119" t="str">
        <f>'MEMOR. CALCULO'!B120</f>
        <v>TERMINAL OU CONECTOR DE PRESSAO - PARA CABO 70MM2 - FORNECIMENTO E INSTALACAO</v>
      </c>
      <c r="E92" s="106" t="str">
        <f>'MEMOR. CALCULO'!C120</f>
        <v>UNI</v>
      </c>
      <c r="F92" s="138">
        <f>'MEMOR. CALCULO'!D120</f>
        <v>60</v>
      </c>
      <c r="G92" s="234">
        <v>16.67</v>
      </c>
      <c r="H92" s="110">
        <f t="shared" si="2"/>
        <v>1000.2</v>
      </c>
      <c r="I92" s="111"/>
      <c r="J92" s="236" t="s">
        <v>228</v>
      </c>
    </row>
    <row r="93" spans="1:10" s="3" customFormat="1" ht="19.5" customHeight="1" outlineLevel="1">
      <c r="A93" s="113" t="str">
        <f>'MEMOR. CALCULO'!A121</f>
        <v>6.4</v>
      </c>
      <c r="B93" s="113">
        <v>68069</v>
      </c>
      <c r="C93" s="106" t="s">
        <v>44</v>
      </c>
      <c r="D93" s="119" t="str">
        <f>'MEMOR. CALCULO'!B121</f>
        <v>HASTE COPPERWELD 5/8 X 3,0M COM CONECTOR</v>
      </c>
      <c r="E93" s="106" t="str">
        <f>'MEMOR. CALCULO'!C121</f>
        <v>UNI</v>
      </c>
      <c r="F93" s="138">
        <f>'MEMOR. CALCULO'!D121</f>
        <v>10</v>
      </c>
      <c r="G93" s="234">
        <v>35.97</v>
      </c>
      <c r="H93" s="110">
        <f t="shared" si="2"/>
        <v>359.7</v>
      </c>
      <c r="I93" s="111"/>
      <c r="J93" s="236" t="s">
        <v>228</v>
      </c>
    </row>
    <row r="94" spans="1:10" s="3" customFormat="1" ht="19.5" customHeight="1" outlineLevel="1">
      <c r="A94" s="113" t="str">
        <f>'MEMOR. CALCULO'!A122</f>
        <v>6.5</v>
      </c>
      <c r="B94" s="113">
        <v>91937</v>
      </c>
      <c r="C94" s="106" t="s">
        <v>44</v>
      </c>
      <c r="D94" s="119" t="str">
        <f>'MEMOR. CALCULO'!B122</f>
        <v>CAIXA DE INSPEÇÃO PARA ATERRAMENTO</v>
      </c>
      <c r="E94" s="106" t="str">
        <f>'MEMOR. CALCULO'!C122</f>
        <v>UNI</v>
      </c>
      <c r="F94" s="138">
        <f>'MEMOR. CALCULO'!D122</f>
        <v>10</v>
      </c>
      <c r="G94" s="234">
        <v>9.61</v>
      </c>
      <c r="H94" s="110">
        <f t="shared" si="2"/>
        <v>96.1</v>
      </c>
      <c r="I94" s="111"/>
      <c r="J94" s="236" t="s">
        <v>228</v>
      </c>
    </row>
    <row r="95" spans="1:10" s="3" customFormat="1" ht="24.75" customHeight="1" outlineLevel="1">
      <c r="A95" s="113" t="str">
        <f>'MEMOR. CALCULO'!A123</f>
        <v>6.6</v>
      </c>
      <c r="B95" s="113">
        <v>91872</v>
      </c>
      <c r="C95" s="106" t="s">
        <v>44</v>
      </c>
      <c r="D95" s="119" t="str">
        <f>'MEMOR. CALCULO'!B123</f>
        <v>ELETRODUTO RÍGIDO ROSCÁVEL, PVC, DN 32 MM (1"), PARA CIRCUITOS TERMINAIS, INSTALADO EM PAREDE - FORNECIMENTO E INSTALAÇÃO. AF_12/2015</v>
      </c>
      <c r="E95" s="106" t="str">
        <f>'MEMOR. CALCULO'!C123</f>
        <v>M</v>
      </c>
      <c r="F95" s="138">
        <f>'MEMOR. CALCULO'!D123</f>
        <v>10.8</v>
      </c>
      <c r="G95" s="234">
        <v>10.02</v>
      </c>
      <c r="H95" s="110">
        <f t="shared" si="2"/>
        <v>108.21600000000001</v>
      </c>
      <c r="I95" s="111"/>
      <c r="J95" s="236" t="s">
        <v>228</v>
      </c>
    </row>
    <row r="96" spans="1:10" s="3" customFormat="1" ht="24.75" customHeight="1" outlineLevel="1">
      <c r="A96" s="113" t="str">
        <f>'MEMOR. CALCULO'!A124</f>
        <v>6.7</v>
      </c>
      <c r="B96" s="113" t="s">
        <v>143</v>
      </c>
      <c r="C96" s="106" t="s">
        <v>44</v>
      </c>
      <c r="D96" s="119" t="str">
        <f>'MEMOR. CALCULO'!B124</f>
        <v>ABRAÇADEIRA METÁLICA TIPO D DE 1''</v>
      </c>
      <c r="E96" s="113" t="str">
        <f>'MEMOR. CALCULO'!C124</f>
        <v>UNI</v>
      </c>
      <c r="F96" s="138">
        <f>'MEMOR. CALCULO'!D124</f>
        <v>48</v>
      </c>
      <c r="G96" s="234">
        <f>COMPOSIÇÃO!G15</f>
        <v>13.61</v>
      </c>
      <c r="H96" s="110">
        <f t="shared" si="2"/>
        <v>653.28</v>
      </c>
      <c r="I96" s="111"/>
      <c r="J96" s="236"/>
    </row>
    <row r="97" spans="1:10" s="3" customFormat="1" ht="19.5" customHeight="1" outlineLevel="1">
      <c r="A97" s="270" t="s">
        <v>35</v>
      </c>
      <c r="B97" s="270"/>
      <c r="C97" s="270"/>
      <c r="D97" s="270"/>
      <c r="E97" s="270"/>
      <c r="F97" s="270"/>
      <c r="G97" s="270"/>
      <c r="H97" s="270"/>
      <c r="I97" s="105">
        <f>SUM(H90:H96)</f>
        <v>7525.336</v>
      </c>
      <c r="J97" s="236"/>
    </row>
    <row r="98" spans="1:10" s="3" customFormat="1" ht="19.5" customHeight="1">
      <c r="A98" s="221"/>
      <c r="B98" s="221"/>
      <c r="C98" s="221"/>
      <c r="D98" s="221"/>
      <c r="E98" s="221"/>
      <c r="F98" s="232"/>
      <c r="G98" s="221"/>
      <c r="H98" s="221"/>
      <c r="I98" s="117"/>
      <c r="J98" s="236"/>
    </row>
    <row r="99" spans="1:10" s="3" customFormat="1" ht="19.5" customHeight="1">
      <c r="A99" s="144" t="str">
        <f>'MEMOR. CALCULO'!A126</f>
        <v>7.0</v>
      </c>
      <c r="B99" s="102"/>
      <c r="C99" s="102"/>
      <c r="D99" s="103" t="str">
        <f>'MEMOR. CALCULO'!B126</f>
        <v>SERVIÇOS DIVERSOS</v>
      </c>
      <c r="E99" s="104"/>
      <c r="F99" s="136"/>
      <c r="G99" s="104"/>
      <c r="H99" s="104"/>
      <c r="I99" s="105"/>
      <c r="J99" s="236"/>
    </row>
    <row r="100" spans="1:10" s="3" customFormat="1" ht="24" customHeight="1" outlineLevel="1">
      <c r="A100" s="106" t="str">
        <f>'MEMOR. CALCULO'!A127</f>
        <v>7.1</v>
      </c>
      <c r="B100" s="113">
        <v>88423</v>
      </c>
      <c r="C100" s="106" t="s">
        <v>44</v>
      </c>
      <c r="D100" s="123" t="str">
        <f>'MEMOR. CALCULO'!B127</f>
        <v>APLICAÇÃO MANUAL DE PINTURA COM TINTA TEXTURIZADA ACRÍLICA EM PAREDES EXTERNAS DE CASAS, UMA COR. AF_06/2014</v>
      </c>
      <c r="E100" s="106" t="str">
        <f>'MEMOR. CALCULO'!C127</f>
        <v>M²</v>
      </c>
      <c r="F100" s="112">
        <f>'MEMOR. CALCULO'!D127</f>
        <v>9.799999999999999</v>
      </c>
      <c r="G100" s="234">
        <v>14.44</v>
      </c>
      <c r="H100" s="110">
        <f>F100*G100</f>
        <v>141.51199999999997</v>
      </c>
      <c r="I100" s="111"/>
      <c r="J100" s="236" t="s">
        <v>228</v>
      </c>
    </row>
    <row r="101" spans="1:10" s="3" customFormat="1" ht="26.25" customHeight="1" outlineLevel="1">
      <c r="A101" s="106" t="str">
        <f>'MEMOR. CALCULO'!A129</f>
        <v>7.2</v>
      </c>
      <c r="B101" s="113" t="s">
        <v>203</v>
      </c>
      <c r="C101" s="106" t="s">
        <v>44</v>
      </c>
      <c r="D101" s="123" t="str">
        <f>'MEMOR. CALCULO'!B129</f>
        <v>IMPERMEABILIZAÇÃO COM TINTA BETUMINOSA EM FUNDAÇÕES, BALDRAMES</v>
      </c>
      <c r="E101" s="106" t="str">
        <f>'MEMOR. CALCULO'!C129</f>
        <v>M²</v>
      </c>
      <c r="F101" s="112">
        <f>'MEMOR. CALCULO'!D129</f>
        <v>110.46000000000001</v>
      </c>
      <c r="G101" s="234">
        <v>6.81</v>
      </c>
      <c r="H101" s="110">
        <f>F101*G101</f>
        <v>752.2326</v>
      </c>
      <c r="I101" s="111"/>
      <c r="J101" s="236" t="s">
        <v>228</v>
      </c>
    </row>
    <row r="102" spans="1:10" s="3" customFormat="1" ht="19.5" customHeight="1" outlineLevel="1">
      <c r="A102" s="270" t="s">
        <v>36</v>
      </c>
      <c r="B102" s="270"/>
      <c r="C102" s="270"/>
      <c r="D102" s="270"/>
      <c r="E102" s="270"/>
      <c r="F102" s="270"/>
      <c r="G102" s="270"/>
      <c r="H102" s="270"/>
      <c r="I102" s="105">
        <f>SUM(H100:H101)</f>
        <v>893.7446</v>
      </c>
      <c r="J102" s="236"/>
    </row>
    <row r="103" spans="1:10" s="3" customFormat="1" ht="19.5" customHeight="1">
      <c r="A103" s="221"/>
      <c r="B103" s="221"/>
      <c r="C103" s="221"/>
      <c r="D103" s="221"/>
      <c r="E103" s="221"/>
      <c r="F103" s="232"/>
      <c r="G103" s="221"/>
      <c r="H103" s="221"/>
      <c r="I103" s="117"/>
      <c r="J103" s="236"/>
    </row>
    <row r="104" spans="1:10" s="3" customFormat="1" ht="19.5" customHeight="1">
      <c r="A104" s="144" t="str">
        <f>'MEMOR. CALCULO'!A132</f>
        <v>8.0</v>
      </c>
      <c r="B104" s="102"/>
      <c r="C104" s="102"/>
      <c r="D104" s="103" t="str">
        <f>'MEMOR. CALCULO'!B132</f>
        <v>SERVIÇOS DIVERSOS</v>
      </c>
      <c r="E104" s="104"/>
      <c r="F104" s="136"/>
      <c r="G104" s="104"/>
      <c r="H104" s="104"/>
      <c r="I104" s="105"/>
      <c r="J104" s="236"/>
    </row>
    <row r="105" spans="1:10" s="3" customFormat="1" ht="19.5" customHeight="1" outlineLevel="1">
      <c r="A105" s="118" t="str">
        <f>'MEMOR. CALCULO'!A133</f>
        <v>8.1</v>
      </c>
      <c r="B105" s="107">
        <v>9537</v>
      </c>
      <c r="C105" s="106" t="s">
        <v>44</v>
      </c>
      <c r="D105" s="123" t="str">
        <f>'MEMOR. CALCULO'!B133</f>
        <v>LIMPEZA GERAL</v>
      </c>
      <c r="E105" s="106" t="str">
        <f>'MEMOR. CALCULO'!C133</f>
        <v>M²</v>
      </c>
      <c r="F105" s="137">
        <f>'MEMOR. CALCULO'!D133</f>
        <v>743.36</v>
      </c>
      <c r="G105" s="234">
        <v>1.68</v>
      </c>
      <c r="H105" s="110">
        <f>F105*G105</f>
        <v>1248.8448</v>
      </c>
      <c r="I105" s="111"/>
      <c r="J105" s="236" t="s">
        <v>228</v>
      </c>
    </row>
    <row r="106" spans="1:10" s="3" customFormat="1" ht="19.5" customHeight="1" outlineLevel="1">
      <c r="A106" s="270" t="s">
        <v>48</v>
      </c>
      <c r="B106" s="270"/>
      <c r="C106" s="270"/>
      <c r="D106" s="270"/>
      <c r="E106" s="270"/>
      <c r="F106" s="270"/>
      <c r="G106" s="270"/>
      <c r="H106" s="270"/>
      <c r="I106" s="105">
        <f>SUM(H105)</f>
        <v>1248.8448</v>
      </c>
      <c r="J106" s="236"/>
    </row>
    <row r="107" spans="1:10" s="3" customFormat="1" ht="19.5" customHeight="1" outlineLevel="1">
      <c r="A107" s="221"/>
      <c r="B107" s="221"/>
      <c r="C107" s="221"/>
      <c r="D107" s="221"/>
      <c r="E107" s="221"/>
      <c r="F107" s="221"/>
      <c r="G107" s="221"/>
      <c r="H107" s="221"/>
      <c r="I107" s="117"/>
      <c r="J107" s="236"/>
    </row>
    <row r="108" spans="1:10" s="3" customFormat="1" ht="19.5" customHeight="1">
      <c r="A108" s="271"/>
      <c r="B108" s="271"/>
      <c r="C108" s="271"/>
      <c r="D108" s="271"/>
      <c r="E108" s="271"/>
      <c r="F108" s="271"/>
      <c r="G108" s="271"/>
      <c r="H108" s="216"/>
      <c r="I108" s="105">
        <f>I25+I31+I51+I59+I87+I102+I106+I97</f>
        <v>200203.9805</v>
      </c>
      <c r="J108" s="236"/>
    </row>
    <row r="109" spans="1:10" s="3" customFormat="1" ht="19.5" customHeight="1">
      <c r="A109" s="271" t="s">
        <v>43</v>
      </c>
      <c r="B109" s="271"/>
      <c r="C109" s="271"/>
      <c r="D109" s="271"/>
      <c r="E109" s="271"/>
      <c r="F109" s="271"/>
      <c r="G109" s="271"/>
      <c r="H109" s="216">
        <v>0.2625</v>
      </c>
      <c r="I109" s="105">
        <f>I108*1.2625</f>
        <v>252757.52538125</v>
      </c>
      <c r="J109" s="236"/>
    </row>
    <row r="110" spans="1:10" s="3" customFormat="1" ht="19.5" customHeight="1">
      <c r="A110" s="126"/>
      <c r="B110" s="126"/>
      <c r="C110" s="126"/>
      <c r="D110" s="126"/>
      <c r="E110" s="126"/>
      <c r="F110" s="125"/>
      <c r="G110" s="126"/>
      <c r="H110" s="126"/>
      <c r="I110" s="126"/>
      <c r="J110" s="236"/>
    </row>
    <row r="111" ht="12.75">
      <c r="F111" s="127"/>
    </row>
    <row r="112" spans="6:8" ht="12.75">
      <c r="F112" s="127"/>
      <c r="H112" s="129"/>
    </row>
    <row r="113" spans="4:6" ht="12.75">
      <c r="D113" s="141" t="s">
        <v>159</v>
      </c>
      <c r="F113" s="139"/>
    </row>
    <row r="114" spans="4:6" ht="12.75">
      <c r="D114" s="141" t="s">
        <v>160</v>
      </c>
      <c r="F114" s="139"/>
    </row>
    <row r="115" ht="12.75">
      <c r="F115" s="139"/>
    </row>
    <row r="116" ht="12.75">
      <c r="F116" s="139"/>
    </row>
    <row r="117" spans="6:10" ht="12.75">
      <c r="F117" s="139"/>
      <c r="I117" s="219">
        <v>259338.51</v>
      </c>
      <c r="J117" s="235" t="s">
        <v>177</v>
      </c>
    </row>
    <row r="118" ht="12.75">
      <c r="F118" s="139"/>
    </row>
    <row r="119" ht="12.75">
      <c r="F119" s="139"/>
    </row>
    <row r="120" ht="12.75">
      <c r="I120" s="220">
        <f>I109-I117</f>
        <v>-6580.9846187500225</v>
      </c>
    </row>
    <row r="122" ht="12.75">
      <c r="I122" s="215" t="s">
        <v>176</v>
      </c>
    </row>
    <row r="129" ht="12.75">
      <c r="H129" s="72">
        <f>I117*1.08</f>
        <v>280085.5908</v>
      </c>
    </row>
  </sheetData>
  <sheetProtection/>
  <mergeCells count="13">
    <mergeCell ref="H8:I8"/>
    <mergeCell ref="A106:H106"/>
    <mergeCell ref="A97:H97"/>
    <mergeCell ref="A51:H51"/>
    <mergeCell ref="A52:I52"/>
    <mergeCell ref="A102:H102"/>
    <mergeCell ref="A59:H59"/>
    <mergeCell ref="A87:H87"/>
    <mergeCell ref="A109:G109"/>
    <mergeCell ref="A25:H25"/>
    <mergeCell ref="A31:H31"/>
    <mergeCell ref="A32:I32"/>
    <mergeCell ref="A108:G108"/>
  </mergeCells>
  <conditionalFormatting sqref="F88:G88 F60:G60 F26:H26">
    <cfRule type="cellIs" priority="42" dxfId="9" operator="equal" stopIfTrue="1">
      <formula>0</formula>
    </cfRule>
  </conditionalFormatting>
  <conditionalFormatting sqref="G14:H14">
    <cfRule type="cellIs" priority="14" dxfId="9" operator="equal" stopIfTrue="1">
      <formula>0</formula>
    </cfRule>
  </conditionalFormatting>
  <conditionalFormatting sqref="G28">
    <cfRule type="containsText" priority="2" dxfId="8" operator="containsText" text="#N/D">
      <formula>NOT(ISERROR(SEARCH("#N/D",G28)))</formula>
    </cfRule>
    <cfRule type="containsErrors" priority="3" dxfId="7">
      <formula>ISERROR(G28)</formula>
    </cfRule>
  </conditionalFormatting>
  <conditionalFormatting sqref="G28">
    <cfRule type="containsText" priority="1" dxfId="6" operator="containsText" text="#N/D">
      <formula>NOT(ISERROR(SEARCH("#N/D",G28)))</formula>
    </cfRule>
  </conditionalFormatting>
  <printOptions/>
  <pageMargins left="0.3937007874015748" right="0.3937007874015748" top="0.1968503937007874" bottom="0.4724409448818898" header="0.5118110236220472" footer="0.5118110236220472"/>
  <pageSetup horizontalDpi="600" verticalDpi="600" orientation="portrait" paperSize="9" scale="56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140" zoomScaleSheetLayoutView="140" zoomScalePageLayoutView="0" workbookViewId="0" topLeftCell="A1">
      <selection activeCell="B74" sqref="B74"/>
    </sheetView>
  </sheetViews>
  <sheetFormatPr defaultColWidth="9.140625" defaultRowHeight="12.75"/>
  <cols>
    <col min="1" max="1" width="9.140625" style="51" customWidth="1"/>
    <col min="2" max="2" width="84.28125" style="0" customWidth="1"/>
    <col min="3" max="3" width="6.00390625" style="34" customWidth="1"/>
    <col min="4" max="4" width="10.8515625" style="34" customWidth="1"/>
    <col min="5" max="5" width="10.421875" style="36" customWidth="1"/>
  </cols>
  <sheetData>
    <row r="1" spans="1:4" ht="12.75">
      <c r="A1" s="275" t="s">
        <v>74</v>
      </c>
      <c r="B1" s="275"/>
      <c r="C1" s="275"/>
      <c r="D1" s="275"/>
    </row>
    <row r="2" spans="1:4" ht="12.75">
      <c r="A2" s="275"/>
      <c r="B2" s="275"/>
      <c r="C2" s="275"/>
      <c r="D2" s="275"/>
    </row>
    <row r="3" spans="1:4" ht="12.75">
      <c r="A3" s="275"/>
      <c r="B3" s="275"/>
      <c r="C3" s="275"/>
      <c r="D3" s="275"/>
    </row>
    <row r="4" spans="1:4" ht="12.75">
      <c r="A4" s="275"/>
      <c r="B4" s="275"/>
      <c r="C4" s="275"/>
      <c r="D4" s="275"/>
    </row>
    <row r="5" spans="1:4" ht="12.75">
      <c r="A5" s="275"/>
      <c r="B5" s="275"/>
      <c r="C5" s="275"/>
      <c r="D5" s="275"/>
    </row>
    <row r="6" spans="1:4" ht="12.75">
      <c r="A6" s="275"/>
      <c r="B6" s="275"/>
      <c r="C6" s="275"/>
      <c r="D6" s="275"/>
    </row>
    <row r="7" spans="1:4" ht="12.75">
      <c r="A7" s="275"/>
      <c r="B7" s="275"/>
      <c r="C7" s="275"/>
      <c r="D7" s="275"/>
    </row>
    <row r="8" spans="1:4" ht="12.75">
      <c r="A8" s="275"/>
      <c r="B8" s="275"/>
      <c r="C8" s="275"/>
      <c r="D8" s="275"/>
    </row>
    <row r="9" spans="1:4" ht="12.75">
      <c r="A9" s="276"/>
      <c r="B9" s="276"/>
      <c r="C9" s="276"/>
      <c r="D9" s="276"/>
    </row>
    <row r="10" spans="1:4" ht="15">
      <c r="A10" s="46"/>
      <c r="B10" s="18" t="s">
        <v>75</v>
      </c>
      <c r="C10" s="19" t="s">
        <v>76</v>
      </c>
      <c r="D10" s="20" t="s">
        <v>3</v>
      </c>
    </row>
    <row r="11" spans="1:4" ht="15">
      <c r="A11" s="47" t="s">
        <v>77</v>
      </c>
      <c r="B11" s="21" t="s">
        <v>78</v>
      </c>
      <c r="C11" s="22"/>
      <c r="D11" s="22"/>
    </row>
    <row r="12" spans="1:5" ht="15">
      <c r="A12" s="48" t="s">
        <v>12</v>
      </c>
      <c r="B12" s="8" t="s">
        <v>79</v>
      </c>
      <c r="C12" s="30" t="s">
        <v>91</v>
      </c>
      <c r="D12" s="31">
        <f>ROUND((3*2),2)</f>
        <v>6</v>
      </c>
      <c r="E12" s="36" t="s">
        <v>178</v>
      </c>
    </row>
    <row r="13" spans="1:4" ht="15">
      <c r="A13" s="48"/>
      <c r="B13" s="29" t="s">
        <v>90</v>
      </c>
      <c r="C13" s="33"/>
      <c r="D13" s="33"/>
    </row>
    <row r="14" spans="1:5" ht="38.25">
      <c r="A14" s="49" t="s">
        <v>13</v>
      </c>
      <c r="B14" s="8" t="s">
        <v>255</v>
      </c>
      <c r="C14" s="25" t="s">
        <v>91</v>
      </c>
      <c r="D14" s="32">
        <f>(4*3)</f>
        <v>12</v>
      </c>
      <c r="E14" s="36" t="s">
        <v>178</v>
      </c>
    </row>
    <row r="15" spans="1:4" ht="15">
      <c r="A15" s="48"/>
      <c r="B15" s="24" t="s">
        <v>92</v>
      </c>
      <c r="C15" s="33"/>
      <c r="D15" s="33"/>
    </row>
    <row r="16" spans="1:5" ht="15">
      <c r="A16" s="49" t="s">
        <v>14</v>
      </c>
      <c r="B16" s="8" t="s">
        <v>81</v>
      </c>
      <c r="C16" s="25" t="s">
        <v>91</v>
      </c>
      <c r="D16" s="33">
        <v>743.36</v>
      </c>
      <c r="E16" s="36" t="s">
        <v>178</v>
      </c>
    </row>
    <row r="17" spans="1:4" ht="12.75">
      <c r="A17" s="48"/>
      <c r="B17" s="11" t="s">
        <v>111</v>
      </c>
      <c r="C17" s="33"/>
      <c r="D17" s="33"/>
    </row>
    <row r="18" spans="1:5" ht="15">
      <c r="A18" s="49" t="s">
        <v>15</v>
      </c>
      <c r="B18" s="8" t="s">
        <v>82</v>
      </c>
      <c r="C18" s="25" t="s">
        <v>76</v>
      </c>
      <c r="D18" s="32">
        <v>1</v>
      </c>
      <c r="E18" s="36" t="s">
        <v>178</v>
      </c>
    </row>
    <row r="19" spans="1:4" ht="12.75">
      <c r="A19" s="48"/>
      <c r="B19" s="11" t="s">
        <v>179</v>
      </c>
      <c r="C19" s="33"/>
      <c r="D19" s="32"/>
    </row>
    <row r="20" spans="1:4" ht="15.75">
      <c r="A20" s="50" t="s">
        <v>237</v>
      </c>
      <c r="B20" s="40" t="s">
        <v>83</v>
      </c>
      <c r="C20" s="41" t="s">
        <v>86</v>
      </c>
      <c r="D20" s="42">
        <v>1</v>
      </c>
    </row>
    <row r="21" spans="1:4" ht="15">
      <c r="A21" s="48"/>
      <c r="B21" s="24" t="s">
        <v>84</v>
      </c>
      <c r="C21" s="25"/>
      <c r="D21" s="33"/>
    </row>
    <row r="22" spans="1:5" ht="15.75">
      <c r="A22" s="48" t="s">
        <v>238</v>
      </c>
      <c r="B22" s="26" t="s">
        <v>85</v>
      </c>
      <c r="C22" s="27" t="s">
        <v>86</v>
      </c>
      <c r="D22" s="32">
        <v>1</v>
      </c>
      <c r="E22" s="36" t="s">
        <v>178</v>
      </c>
    </row>
    <row r="23" spans="1:5" ht="15.75">
      <c r="A23" s="48" t="s">
        <v>239</v>
      </c>
      <c r="B23" s="28" t="s">
        <v>87</v>
      </c>
      <c r="C23" s="27" t="s">
        <v>86</v>
      </c>
      <c r="D23" s="32">
        <v>1</v>
      </c>
      <c r="E23" s="36" t="s">
        <v>178</v>
      </c>
    </row>
    <row r="24" spans="1:5" ht="15.75">
      <c r="A24" s="48" t="s">
        <v>240</v>
      </c>
      <c r="B24" s="28" t="s">
        <v>88</v>
      </c>
      <c r="C24" s="27" t="s">
        <v>89</v>
      </c>
      <c r="D24" s="32">
        <v>25</v>
      </c>
      <c r="E24" s="36" t="s">
        <v>178</v>
      </c>
    </row>
    <row r="25" spans="1:4" ht="12.75">
      <c r="A25" s="48"/>
      <c r="B25" s="23"/>
      <c r="C25" s="33"/>
      <c r="D25" s="33"/>
    </row>
    <row r="26" spans="1:4" ht="15">
      <c r="A26" s="21" t="s">
        <v>104</v>
      </c>
      <c r="B26" s="21" t="s">
        <v>11</v>
      </c>
      <c r="C26" s="242"/>
      <c r="D26" s="21"/>
    </row>
    <row r="27" spans="1:5" ht="25.5">
      <c r="A27" s="48" t="s">
        <v>16</v>
      </c>
      <c r="B27" s="14" t="s">
        <v>183</v>
      </c>
      <c r="C27" s="25" t="s">
        <v>105</v>
      </c>
      <c r="D27" s="241">
        <f>ROUND((((0.049*20)+(0.8*0.8*1.25*6)+(1.2*1.2*1.25*14)+(((0.6*0.4*(4.5*6))*2))+(((0.6*0.4*((5.8*2)+(4.29*2))))*2)+(((0.6*0.4*(4.5*6))*2))+(((0.6*0.4*((5.8*2)+(4.29*2))))*2))),2)</f>
        <v>76.27</v>
      </c>
      <c r="E27" s="235" t="s">
        <v>178</v>
      </c>
    </row>
    <row r="28" spans="1:4" ht="91.5" customHeight="1">
      <c r="A28" s="48"/>
      <c r="B28" s="12" t="s">
        <v>184</v>
      </c>
      <c r="C28" s="33"/>
      <c r="D28" s="33"/>
    </row>
    <row r="29" spans="1:5" ht="15">
      <c r="A29" s="48" t="s">
        <v>17</v>
      </c>
      <c r="B29" s="14" t="s">
        <v>99</v>
      </c>
      <c r="C29" s="25" t="s">
        <v>91</v>
      </c>
      <c r="D29" s="33">
        <f>ROUND(((0.8*0.8*6)+(1.2*1.2*14)+(((0.6*(4.5*6))*2)+(((0.6*((5.8*2)+(4.29*2))))*2))),2)</f>
        <v>80.62</v>
      </c>
      <c r="E29" s="36" t="s">
        <v>178</v>
      </c>
    </row>
    <row r="30" spans="1:4" ht="43.5" customHeight="1">
      <c r="A30" s="48"/>
      <c r="B30" s="12" t="s">
        <v>185</v>
      </c>
      <c r="C30" s="33"/>
      <c r="D30" s="33"/>
    </row>
    <row r="31" spans="1:5" ht="15">
      <c r="A31" s="48" t="s">
        <v>18</v>
      </c>
      <c r="B31" s="14" t="s">
        <v>100</v>
      </c>
      <c r="C31" s="25" t="s">
        <v>105</v>
      </c>
      <c r="D31" s="33">
        <f>ROUND((76.27-(30.98+8.9)),2)</f>
        <v>36.39</v>
      </c>
      <c r="E31" s="36" t="s">
        <v>178</v>
      </c>
    </row>
    <row r="32" spans="1:4" ht="38.25">
      <c r="A32" s="48"/>
      <c r="B32" s="12" t="s">
        <v>186</v>
      </c>
      <c r="C32" s="33"/>
      <c r="D32" s="33"/>
    </row>
    <row r="33" spans="1:4" ht="12.75">
      <c r="A33" s="48"/>
      <c r="B33" s="23" t="s">
        <v>80</v>
      </c>
      <c r="C33" s="33"/>
      <c r="D33" s="33"/>
    </row>
    <row r="34" spans="1:4" ht="15">
      <c r="A34" s="21" t="s">
        <v>134</v>
      </c>
      <c r="B34" s="21" t="s">
        <v>10</v>
      </c>
      <c r="C34" s="242"/>
      <c r="D34" s="21"/>
    </row>
    <row r="35" spans="1:4" ht="15">
      <c r="A35" s="59"/>
      <c r="B35" s="59" t="s">
        <v>50</v>
      </c>
      <c r="C35" s="59"/>
      <c r="D35" s="59"/>
    </row>
    <row r="36" spans="1:5" ht="25.5">
      <c r="A36" s="48" t="s">
        <v>19</v>
      </c>
      <c r="B36" s="240" t="s">
        <v>181</v>
      </c>
      <c r="C36" s="33" t="s">
        <v>89</v>
      </c>
      <c r="D36" s="32">
        <f>(20*1)</f>
        <v>20</v>
      </c>
      <c r="E36" s="36" t="s">
        <v>178</v>
      </c>
    </row>
    <row r="37" spans="1:4" ht="12.75">
      <c r="A37" s="48"/>
      <c r="B37" s="12" t="s">
        <v>187</v>
      </c>
      <c r="C37" s="33"/>
      <c r="D37" s="33"/>
    </row>
    <row r="38" spans="1:5" ht="12.75">
      <c r="A38" s="48" t="s">
        <v>20</v>
      </c>
      <c r="B38" s="17" t="s">
        <v>101</v>
      </c>
      <c r="C38" s="33" t="s">
        <v>91</v>
      </c>
      <c r="D38" s="32">
        <f>ROUND(((0.8*0.8*6)+(1.2*1.2*14)+(((0.2*(4.5*6))*2)+(((0.2*((5.8*2)+(4.29*2))))*2))),2)</f>
        <v>42.87</v>
      </c>
      <c r="E38" s="36" t="s">
        <v>178</v>
      </c>
    </row>
    <row r="39" spans="1:9" ht="38.25">
      <c r="A39" s="48"/>
      <c r="B39" s="12" t="s">
        <v>206</v>
      </c>
      <c r="C39" s="33"/>
      <c r="D39" s="33"/>
      <c r="E39" s="37"/>
      <c r="G39" s="35"/>
      <c r="I39" s="35"/>
    </row>
    <row r="40" spans="1:9" ht="12.75">
      <c r="A40" s="48" t="s">
        <v>21</v>
      </c>
      <c r="B40" s="17" t="s">
        <v>102</v>
      </c>
      <c r="C40" s="33" t="s">
        <v>91</v>
      </c>
      <c r="D40" s="33">
        <v>48.54</v>
      </c>
      <c r="E40" s="38" t="s">
        <v>178</v>
      </c>
      <c r="G40" s="35"/>
      <c r="I40" s="35"/>
    </row>
    <row r="41" spans="1:10" ht="12.75">
      <c r="A41" s="48"/>
      <c r="B41" s="16" t="s">
        <v>108</v>
      </c>
      <c r="C41" s="33"/>
      <c r="D41" s="33"/>
      <c r="E41" s="38"/>
      <c r="G41" s="35"/>
      <c r="I41" s="35"/>
      <c r="J41" s="35"/>
    </row>
    <row r="42" spans="1:9" ht="38.25">
      <c r="A42" s="48" t="s">
        <v>52</v>
      </c>
      <c r="B42" s="14" t="s">
        <v>207</v>
      </c>
      <c r="C42" s="33" t="s">
        <v>106</v>
      </c>
      <c r="D42" s="32">
        <v>212.1</v>
      </c>
      <c r="E42" s="38" t="s">
        <v>178</v>
      </c>
      <c r="G42" s="35"/>
      <c r="I42" s="35"/>
    </row>
    <row r="43" spans="1:5" ht="12.75">
      <c r="A43" s="48"/>
      <c r="B43" s="12" t="s">
        <v>208</v>
      </c>
      <c r="C43" s="33"/>
      <c r="D43" s="33"/>
      <c r="E43" s="38"/>
    </row>
    <row r="44" spans="1:5" ht="38.25">
      <c r="A44" s="48" t="s">
        <v>53</v>
      </c>
      <c r="B44" s="14" t="s">
        <v>209</v>
      </c>
      <c r="C44" s="33" t="s">
        <v>106</v>
      </c>
      <c r="D44" s="32">
        <v>3.1</v>
      </c>
      <c r="E44" s="38" t="s">
        <v>178</v>
      </c>
    </row>
    <row r="45" spans="1:5" ht="12.75">
      <c r="A45" s="48"/>
      <c r="B45" s="12" t="s">
        <v>210</v>
      </c>
      <c r="C45" s="33"/>
      <c r="D45" s="33"/>
      <c r="E45" s="39"/>
    </row>
    <row r="46" spans="1:5" ht="38.25">
      <c r="A46" s="49" t="s">
        <v>54</v>
      </c>
      <c r="B46" s="14" t="s">
        <v>216</v>
      </c>
      <c r="C46" s="54" t="s">
        <v>106</v>
      </c>
      <c r="D46" s="32">
        <v>144.6</v>
      </c>
      <c r="E46" s="39" t="s">
        <v>178</v>
      </c>
    </row>
    <row r="47" spans="1:5" ht="12.75">
      <c r="A47" s="48"/>
      <c r="B47" s="12" t="s">
        <v>212</v>
      </c>
      <c r="C47" s="33"/>
      <c r="D47" s="33"/>
      <c r="E47" s="39"/>
    </row>
    <row r="48" spans="1:5" ht="25.5">
      <c r="A48" s="49" t="s">
        <v>55</v>
      </c>
      <c r="B48" s="14" t="s">
        <v>103</v>
      </c>
      <c r="C48" s="33" t="s">
        <v>105</v>
      </c>
      <c r="D48" s="33">
        <v>30.98</v>
      </c>
      <c r="E48" s="38" t="s">
        <v>178</v>
      </c>
    </row>
    <row r="49" spans="1:5" ht="12.75">
      <c r="A49" s="48"/>
      <c r="B49" s="12" t="s">
        <v>213</v>
      </c>
      <c r="C49" s="33"/>
      <c r="D49" s="33"/>
      <c r="E49" s="38"/>
    </row>
    <row r="50" spans="1:5" ht="15">
      <c r="A50" s="59"/>
      <c r="B50" s="59" t="s">
        <v>51</v>
      </c>
      <c r="C50" s="59"/>
      <c r="D50" s="59"/>
      <c r="E50" s="38"/>
    </row>
    <row r="51" spans="1:5" ht="12.75">
      <c r="A51" s="49" t="s">
        <v>56</v>
      </c>
      <c r="B51" s="17" t="s">
        <v>214</v>
      </c>
      <c r="C51" s="33" t="s">
        <v>105</v>
      </c>
      <c r="D51" s="32">
        <v>111.2</v>
      </c>
      <c r="E51" s="38" t="s">
        <v>178</v>
      </c>
    </row>
    <row r="52" spans="1:4" ht="12.75">
      <c r="A52" s="48"/>
      <c r="B52" s="16" t="s">
        <v>109</v>
      </c>
      <c r="C52" s="33"/>
      <c r="D52" s="33"/>
    </row>
    <row r="53" spans="1:5" ht="38.25">
      <c r="A53" s="49" t="s">
        <v>57</v>
      </c>
      <c r="B53" s="14" t="s">
        <v>209</v>
      </c>
      <c r="C53" s="33" t="s">
        <v>106</v>
      </c>
      <c r="D53" s="32">
        <v>224</v>
      </c>
      <c r="E53" s="257" t="s">
        <v>178</v>
      </c>
    </row>
    <row r="54" spans="1:4" ht="12.75">
      <c r="A54" s="48"/>
      <c r="B54" s="12" t="s">
        <v>215</v>
      </c>
      <c r="C54" s="33"/>
      <c r="D54" s="33"/>
    </row>
    <row r="55" spans="1:5" ht="38.25">
      <c r="A55" s="49" t="s">
        <v>58</v>
      </c>
      <c r="B55" s="14" t="s">
        <v>216</v>
      </c>
      <c r="C55" s="33" t="s">
        <v>106</v>
      </c>
      <c r="D55" s="33">
        <v>102.4</v>
      </c>
      <c r="E55" s="36" t="s">
        <v>178</v>
      </c>
    </row>
    <row r="56" spans="1:4" ht="12.75">
      <c r="A56" s="48"/>
      <c r="B56" s="12" t="s">
        <v>217</v>
      </c>
      <c r="C56" s="33"/>
      <c r="D56" s="33"/>
    </row>
    <row r="57" spans="1:5" ht="25.5">
      <c r="A57" s="49" t="s">
        <v>114</v>
      </c>
      <c r="B57" s="14" t="s">
        <v>103</v>
      </c>
      <c r="C57" s="33" t="s">
        <v>105</v>
      </c>
      <c r="D57" s="32">
        <v>8.9</v>
      </c>
      <c r="E57" s="36" t="s">
        <v>178</v>
      </c>
    </row>
    <row r="58" spans="1:4" ht="12.75">
      <c r="A58" s="48"/>
      <c r="B58" s="12" t="s">
        <v>110</v>
      </c>
      <c r="C58" s="33"/>
      <c r="D58" s="33"/>
    </row>
    <row r="59" spans="1:5" ht="15">
      <c r="A59" s="49" t="s">
        <v>211</v>
      </c>
      <c r="B59" s="43" t="s">
        <v>112</v>
      </c>
      <c r="C59" s="54" t="s">
        <v>91</v>
      </c>
      <c r="D59" s="33">
        <f>ROUND(((23.23+23.23+32+32)*0.2*0.4),2)</f>
        <v>8.84</v>
      </c>
      <c r="E59" s="36" t="s">
        <v>178</v>
      </c>
    </row>
    <row r="60" spans="1:4" ht="15">
      <c r="A60" s="48"/>
      <c r="B60" s="44" t="s">
        <v>113</v>
      </c>
      <c r="C60" s="33"/>
      <c r="D60" s="33"/>
    </row>
    <row r="61" spans="1:4" ht="15">
      <c r="A61" s="59"/>
      <c r="B61" s="59" t="s">
        <v>218</v>
      </c>
      <c r="C61" s="59"/>
      <c r="D61" s="59"/>
    </row>
    <row r="62" spans="1:5" ht="15">
      <c r="A62" s="49" t="s">
        <v>219</v>
      </c>
      <c r="B62" s="258" t="s">
        <v>220</v>
      </c>
      <c r="C62" s="54" t="s">
        <v>105</v>
      </c>
      <c r="D62" s="33">
        <f>ROUND(((0.7*0.23*1*6)+(0.7*0.25*14)),2)</f>
        <v>3.42</v>
      </c>
      <c r="E62" s="36" t="s">
        <v>178</v>
      </c>
    </row>
    <row r="63" spans="1:4" ht="30">
      <c r="A63" s="48"/>
      <c r="B63" s="44" t="s">
        <v>221</v>
      </c>
      <c r="C63" s="33"/>
      <c r="D63" s="33"/>
    </row>
    <row r="64" spans="1:5" ht="15">
      <c r="A64" s="49" t="s">
        <v>231</v>
      </c>
      <c r="B64" s="258" t="s">
        <v>230</v>
      </c>
      <c r="C64" s="54" t="s">
        <v>91</v>
      </c>
      <c r="D64" s="33">
        <f>ROUND(((((0.7+0.7+0.23+0.23)*1)*6)+(((0.7+0.7+0.25+0.25)*1)*14)),2)</f>
        <v>37.76</v>
      </c>
      <c r="E64" s="36" t="s">
        <v>178</v>
      </c>
    </row>
    <row r="65" spans="1:4" ht="30">
      <c r="A65" s="48"/>
      <c r="B65" s="44" t="s">
        <v>232</v>
      </c>
      <c r="C65" s="33"/>
      <c r="D65" s="33"/>
    </row>
    <row r="66" spans="1:4" ht="12.75">
      <c r="A66" s="48"/>
      <c r="B66" s="23"/>
      <c r="C66" s="33"/>
      <c r="D66" s="33"/>
    </row>
    <row r="67" spans="1:4" ht="15">
      <c r="A67" s="21" t="s">
        <v>128</v>
      </c>
      <c r="B67" s="21" t="s">
        <v>49</v>
      </c>
      <c r="C67" s="242"/>
      <c r="D67" s="21"/>
    </row>
    <row r="68" spans="1:6" ht="51">
      <c r="A68" s="262" t="s">
        <v>22</v>
      </c>
      <c r="B68" s="55" t="s">
        <v>251</v>
      </c>
      <c r="C68" s="6" t="s">
        <v>91</v>
      </c>
      <c r="D68" s="263">
        <v>743.36</v>
      </c>
      <c r="E68" s="269">
        <f>D70+D72</f>
        <v>1034.2</v>
      </c>
      <c r="F68" s="35" t="s">
        <v>270</v>
      </c>
    </row>
    <row r="69" spans="1:4" ht="12.75">
      <c r="A69" s="49"/>
      <c r="B69" s="56" t="s">
        <v>137</v>
      </c>
      <c r="C69" s="6"/>
      <c r="D69" s="54"/>
    </row>
    <row r="70" spans="1:4" ht="27.75" customHeight="1">
      <c r="A70" s="49" t="s">
        <v>23</v>
      </c>
      <c r="B70" s="223" t="s">
        <v>115</v>
      </c>
      <c r="C70" s="6" t="s">
        <v>91</v>
      </c>
      <c r="D70" s="54">
        <f>208.64+(93.65*4)+(93.78*4)</f>
        <v>958.36</v>
      </c>
    </row>
    <row r="71" spans="1:4" ht="26.25" customHeight="1">
      <c r="A71" s="49"/>
      <c r="B71" s="222" t="s">
        <v>234</v>
      </c>
      <c r="C71" s="6"/>
      <c r="D71" s="54"/>
    </row>
    <row r="72" spans="1:5" ht="12.75">
      <c r="A72" s="49" t="s">
        <v>37</v>
      </c>
      <c r="B72" s="224" t="s">
        <v>271</v>
      </c>
      <c r="C72" s="6" t="s">
        <v>91</v>
      </c>
      <c r="D72" s="261">
        <f>12.64*6</f>
        <v>75.84</v>
      </c>
      <c r="E72" s="36" t="s">
        <v>178</v>
      </c>
    </row>
    <row r="73" spans="1:5" ht="25.5">
      <c r="A73" s="48"/>
      <c r="B73" s="222" t="s">
        <v>233</v>
      </c>
      <c r="C73" s="33" t="s">
        <v>80</v>
      </c>
      <c r="D73" s="33"/>
      <c r="E73" s="36" t="s">
        <v>259</v>
      </c>
    </row>
    <row r="74" spans="1:4" ht="12.75">
      <c r="A74" s="48" t="s">
        <v>38</v>
      </c>
      <c r="B74" s="142" t="s">
        <v>261</v>
      </c>
      <c r="C74" s="33" t="s">
        <v>106</v>
      </c>
      <c r="D74" s="266">
        <f>D75+D76+D77</f>
        <v>701.5</v>
      </c>
    </row>
    <row r="75" spans="1:6" ht="25.5">
      <c r="A75" s="48"/>
      <c r="B75" s="222" t="s">
        <v>266</v>
      </c>
      <c r="C75" s="33" t="s">
        <v>106</v>
      </c>
      <c r="D75" s="33">
        <f>ROUND((((10.09+10.09+0.57+0.2)*2)*5.01),2)</f>
        <v>209.92</v>
      </c>
      <c r="E75" s="36" t="s">
        <v>178</v>
      </c>
      <c r="F75" s="33">
        <f>ROUND(((10.09+9.29+0.57+0.2)*2*6.1)+((8.1+8.5+0.2+0.52)*4*6.1),2)</f>
        <v>668.44</v>
      </c>
    </row>
    <row r="76" spans="1:6" ht="25.5">
      <c r="A76" s="48"/>
      <c r="B76" s="222" t="s">
        <v>268</v>
      </c>
      <c r="C76" s="33"/>
      <c r="D76" s="33">
        <f>ROUND((((8.1+8.5+0.2+0.52)*4)*5.01),2)</f>
        <v>347.09</v>
      </c>
      <c r="F76" s="33"/>
    </row>
    <row r="77" spans="1:6" ht="25.5">
      <c r="A77" s="48"/>
      <c r="B77" s="265" t="s">
        <v>267</v>
      </c>
      <c r="C77" s="33"/>
      <c r="D77" s="33">
        <f>ROUND((((1.03*2)*14)*5.01),2)</f>
        <v>144.49</v>
      </c>
      <c r="F77" s="33"/>
    </row>
    <row r="78" spans="1:6" ht="12.75">
      <c r="A78" s="48"/>
      <c r="B78" s="265"/>
      <c r="C78" s="33"/>
      <c r="D78" s="33" t="s">
        <v>269</v>
      </c>
      <c r="F78" s="33"/>
    </row>
    <row r="79" spans="1:6" ht="25.5">
      <c r="A79" s="48" t="s">
        <v>39</v>
      </c>
      <c r="B79" s="222" t="s">
        <v>260</v>
      </c>
      <c r="C79" s="33" t="s">
        <v>106</v>
      </c>
      <c r="D79" s="266">
        <f>D80+D81+D82</f>
        <v>514.96</v>
      </c>
      <c r="F79" s="33"/>
    </row>
    <row r="80" spans="1:6" ht="25.5">
      <c r="A80" s="48"/>
      <c r="B80" s="265" t="s">
        <v>264</v>
      </c>
      <c r="C80" s="33"/>
      <c r="D80" s="33">
        <f>ROUND(((((0.54+0.58)*4)*14)*1.83),2)</f>
        <v>114.78</v>
      </c>
      <c r="E80" s="36" t="s">
        <v>178</v>
      </c>
      <c r="F80" s="32">
        <f>ROUND((((0.5+0.84+0.5+0.78)*7*2*2*1.73)+(((0.5+0.74+0.5+0.75)*4)+(0.5+0.5)+(0.5+0.77+0.5))*2*4*1.73),2)</f>
        <v>303.1</v>
      </c>
    </row>
    <row r="81" spans="1:4" ht="30.75" customHeight="1">
      <c r="A81" s="48"/>
      <c r="B81" s="265" t="s">
        <v>265</v>
      </c>
      <c r="C81" s="33"/>
      <c r="D81" s="33">
        <f>ROUND(((((((0.5+0.75)*15)+(0.57*2))*2)*2)*1.83),2)</f>
        <v>145.59</v>
      </c>
    </row>
    <row r="82" spans="1:4" ht="38.25">
      <c r="A82" s="48"/>
      <c r="B82" s="265" t="s">
        <v>263</v>
      </c>
      <c r="C82" s="33"/>
      <c r="D82" s="33">
        <f>ROUND(((((((0.5+0.75)*13)+(0.57*2))*2)*4)*1.83),2)</f>
        <v>254.59</v>
      </c>
    </row>
    <row r="83" spans="1:4" ht="12.75">
      <c r="A83" s="48"/>
      <c r="B83" s="23"/>
      <c r="C83" s="33"/>
      <c r="D83" s="33"/>
    </row>
    <row r="84" spans="1:4" ht="12.75">
      <c r="A84" s="48"/>
      <c r="B84" s="23"/>
      <c r="C84" s="33"/>
      <c r="D84" s="33"/>
    </row>
    <row r="85" spans="1:4" ht="15">
      <c r="A85" s="21" t="s">
        <v>129</v>
      </c>
      <c r="B85" s="21" t="s">
        <v>71</v>
      </c>
      <c r="C85" s="242" t="s">
        <v>80</v>
      </c>
      <c r="D85" s="21"/>
    </row>
    <row r="86" spans="1:4" ht="15">
      <c r="A86" s="52"/>
      <c r="B86" s="53" t="s">
        <v>135</v>
      </c>
      <c r="C86" s="243"/>
      <c r="D86" s="52"/>
    </row>
    <row r="87" spans="1:4" ht="15">
      <c r="A87" s="59"/>
      <c r="B87" s="59" t="s">
        <v>138</v>
      </c>
      <c r="C87" s="57"/>
      <c r="D87" s="58"/>
    </row>
    <row r="88" spans="1:5" ht="12.75">
      <c r="A88" s="8" t="s">
        <v>24</v>
      </c>
      <c r="B88" s="130" t="s">
        <v>116</v>
      </c>
      <c r="C88" s="6" t="s">
        <v>133</v>
      </c>
      <c r="D88" s="10">
        <v>15</v>
      </c>
      <c r="E88" s="36" t="s">
        <v>178</v>
      </c>
    </row>
    <row r="89" spans="1:5" ht="12.75">
      <c r="A89" s="8" t="s">
        <v>25</v>
      </c>
      <c r="B89" s="130" t="s">
        <v>117</v>
      </c>
      <c r="C89" s="6" t="s">
        <v>133</v>
      </c>
      <c r="D89" s="10">
        <v>1</v>
      </c>
      <c r="E89" s="36" t="s">
        <v>178</v>
      </c>
    </row>
    <row r="90" spans="1:5" ht="12.75">
      <c r="A90" s="8" t="s">
        <v>40</v>
      </c>
      <c r="B90" s="131" t="s">
        <v>125</v>
      </c>
      <c r="C90" s="6" t="s">
        <v>133</v>
      </c>
      <c r="D90" s="10">
        <v>1</v>
      </c>
      <c r="E90" s="36" t="s">
        <v>178</v>
      </c>
    </row>
    <row r="91" spans="1:5" ht="25.5">
      <c r="A91" s="8" t="s">
        <v>41</v>
      </c>
      <c r="B91" s="224" t="s">
        <v>235</v>
      </c>
      <c r="C91" s="6" t="s">
        <v>133</v>
      </c>
      <c r="D91" s="10">
        <v>1</v>
      </c>
      <c r="E91" s="36" t="s">
        <v>178</v>
      </c>
    </row>
    <row r="92" spans="1:4" ht="15">
      <c r="A92" s="59"/>
      <c r="B92" s="59" t="s">
        <v>139</v>
      </c>
      <c r="C92" s="57"/>
      <c r="D92" s="60"/>
    </row>
    <row r="93" spans="1:5" ht="12.75">
      <c r="A93" s="8" t="s">
        <v>59</v>
      </c>
      <c r="B93" s="130" t="s">
        <v>119</v>
      </c>
      <c r="C93" s="6" t="s">
        <v>89</v>
      </c>
      <c r="D93" s="10">
        <v>1</v>
      </c>
      <c r="E93" s="36" t="s">
        <v>178</v>
      </c>
    </row>
    <row r="94" spans="1:5" ht="12.75">
      <c r="A94" s="8" t="s">
        <v>60</v>
      </c>
      <c r="B94" s="130" t="s">
        <v>120</v>
      </c>
      <c r="C94" s="6" t="s">
        <v>89</v>
      </c>
      <c r="D94" s="10">
        <v>430</v>
      </c>
      <c r="E94" s="36" t="s">
        <v>178</v>
      </c>
    </row>
    <row r="95" spans="1:4" ht="15">
      <c r="A95" s="59"/>
      <c r="B95" s="59" t="s">
        <v>140</v>
      </c>
      <c r="C95" s="57"/>
      <c r="D95" s="60"/>
    </row>
    <row r="96" spans="1:5" ht="12.75">
      <c r="A96" s="8" t="s">
        <v>61</v>
      </c>
      <c r="B96" s="256" t="s">
        <v>121</v>
      </c>
      <c r="C96" s="6" t="s">
        <v>133</v>
      </c>
      <c r="D96" s="10">
        <v>1</v>
      </c>
      <c r="E96" s="36" t="s">
        <v>188</v>
      </c>
    </row>
    <row r="97" spans="1:5" ht="12.75">
      <c r="A97" s="8" t="s">
        <v>62</v>
      </c>
      <c r="B97" s="256" t="s">
        <v>205</v>
      </c>
      <c r="C97" s="6" t="s">
        <v>133</v>
      </c>
      <c r="D97" s="10">
        <v>5</v>
      </c>
      <c r="E97" s="36" t="s">
        <v>178</v>
      </c>
    </row>
    <row r="98" spans="1:5" ht="12.75">
      <c r="A98" s="8" t="s">
        <v>63</v>
      </c>
      <c r="B98" s="23" t="s">
        <v>122</v>
      </c>
      <c r="C98" s="6" t="s">
        <v>133</v>
      </c>
      <c r="D98" s="10">
        <v>1</v>
      </c>
      <c r="E98" s="36" t="s">
        <v>178</v>
      </c>
    </row>
    <row r="99" spans="1:4" ht="15">
      <c r="A99" s="59"/>
      <c r="B99" s="59" t="s">
        <v>141</v>
      </c>
      <c r="C99" s="57"/>
      <c r="D99" s="60"/>
    </row>
    <row r="100" spans="1:5" ht="12.75">
      <c r="A100" s="8" t="s">
        <v>64</v>
      </c>
      <c r="B100" s="23" t="s">
        <v>123</v>
      </c>
      <c r="C100" s="6" t="s">
        <v>89</v>
      </c>
      <c r="D100" s="10">
        <v>13</v>
      </c>
      <c r="E100" s="36" t="s">
        <v>178</v>
      </c>
    </row>
    <row r="101" spans="1:5" ht="12.75">
      <c r="A101" s="8" t="s">
        <v>65</v>
      </c>
      <c r="B101" s="23" t="s">
        <v>124</v>
      </c>
      <c r="C101" s="6" t="s">
        <v>89</v>
      </c>
      <c r="D101" s="10">
        <v>93</v>
      </c>
      <c r="E101" s="36" t="s">
        <v>178</v>
      </c>
    </row>
    <row r="102" spans="1:4" ht="15">
      <c r="A102" s="59"/>
      <c r="B102" s="59" t="s">
        <v>142</v>
      </c>
      <c r="C102" s="57"/>
      <c r="D102" s="60"/>
    </row>
    <row r="103" spans="1:5" ht="38.25" customHeight="1">
      <c r="A103" s="8" t="s">
        <v>66</v>
      </c>
      <c r="B103" s="45" t="s">
        <v>144</v>
      </c>
      <c r="C103" s="6" t="s">
        <v>133</v>
      </c>
      <c r="D103" s="10">
        <v>20</v>
      </c>
      <c r="E103" s="235" t="s">
        <v>178</v>
      </c>
    </row>
    <row r="104" spans="1:5" ht="14.25" customHeight="1">
      <c r="A104" s="59"/>
      <c r="B104" s="59" t="s">
        <v>190</v>
      </c>
      <c r="C104" s="59"/>
      <c r="D104" s="59"/>
      <c r="E104" s="235"/>
    </row>
    <row r="105" spans="1:5" ht="38.25" customHeight="1">
      <c r="A105" s="8" t="s">
        <v>67</v>
      </c>
      <c r="B105" s="55" t="s">
        <v>189</v>
      </c>
      <c r="C105" s="6" t="s">
        <v>133</v>
      </c>
      <c r="D105" s="10">
        <v>1</v>
      </c>
      <c r="E105" s="235" t="s">
        <v>178</v>
      </c>
    </row>
    <row r="106" spans="1:5" ht="16.5" customHeight="1">
      <c r="A106" s="8" t="s">
        <v>68</v>
      </c>
      <c r="B106" s="55" t="s">
        <v>192</v>
      </c>
      <c r="C106" s="6" t="s">
        <v>133</v>
      </c>
      <c r="D106" s="10">
        <v>1</v>
      </c>
      <c r="E106" s="235" t="s">
        <v>178</v>
      </c>
    </row>
    <row r="107" spans="1:5" ht="16.5" customHeight="1">
      <c r="A107" s="59"/>
      <c r="B107" s="59" t="s">
        <v>193</v>
      </c>
      <c r="C107" s="59"/>
      <c r="D107" s="59"/>
      <c r="E107" s="235"/>
    </row>
    <row r="108" spans="1:5" ht="16.5" customHeight="1">
      <c r="A108" s="8" t="s">
        <v>69</v>
      </c>
      <c r="B108" s="250" t="s">
        <v>194</v>
      </c>
      <c r="C108" s="247" t="s">
        <v>91</v>
      </c>
      <c r="D108" s="10">
        <f>1.5*1</f>
        <v>1.5</v>
      </c>
      <c r="E108" s="235" t="s">
        <v>178</v>
      </c>
    </row>
    <row r="109" spans="1:5" ht="16.5" customHeight="1">
      <c r="A109" s="8"/>
      <c r="B109" s="248" t="s">
        <v>197</v>
      </c>
      <c r="C109" s="245"/>
      <c r="D109" s="10"/>
      <c r="E109" s="235"/>
    </row>
    <row r="110" spans="1:5" ht="24.75" customHeight="1">
      <c r="A110" s="8" t="s">
        <v>70</v>
      </c>
      <c r="B110" s="249" t="s">
        <v>195</v>
      </c>
      <c r="C110" s="247" t="s">
        <v>91</v>
      </c>
      <c r="D110" s="10">
        <f>(1.5*1)*2</f>
        <v>3</v>
      </c>
      <c r="E110" s="235" t="s">
        <v>178</v>
      </c>
    </row>
    <row r="111" spans="1:5" ht="16.5" customHeight="1">
      <c r="A111" s="8"/>
      <c r="B111" s="248" t="s">
        <v>198</v>
      </c>
      <c r="C111" s="245"/>
      <c r="D111" s="10"/>
      <c r="E111" s="235"/>
    </row>
    <row r="112" spans="1:5" ht="22.5" customHeight="1">
      <c r="A112" s="8" t="s">
        <v>256</v>
      </c>
      <c r="B112" s="249" t="s">
        <v>196</v>
      </c>
      <c r="C112" s="247" t="s">
        <v>91</v>
      </c>
      <c r="D112" s="10">
        <f>(1.5*1)*2</f>
        <v>3</v>
      </c>
      <c r="E112" s="235" t="s">
        <v>178</v>
      </c>
    </row>
    <row r="113" spans="1:5" ht="16.5" customHeight="1">
      <c r="A113" s="244"/>
      <c r="B113" s="248" t="s">
        <v>198</v>
      </c>
      <c r="C113" s="245"/>
      <c r="D113" s="246"/>
      <c r="E113" s="235"/>
    </row>
    <row r="114" spans="1:5" ht="31.5" customHeight="1">
      <c r="A114" s="8" t="s">
        <v>257</v>
      </c>
      <c r="B114" s="55" t="s">
        <v>258</v>
      </c>
      <c r="C114" s="6" t="s">
        <v>89</v>
      </c>
      <c r="D114" s="10">
        <v>252.84</v>
      </c>
      <c r="E114" s="235" t="s">
        <v>178</v>
      </c>
    </row>
    <row r="115" spans="1:5" ht="16.5" customHeight="1">
      <c r="A115" s="8"/>
      <c r="B115" s="55"/>
      <c r="C115" s="6"/>
      <c r="D115" s="10"/>
      <c r="E115" s="235"/>
    </row>
    <row r="116" spans="1:4" ht="15">
      <c r="A116" s="21" t="s">
        <v>130</v>
      </c>
      <c r="B116" s="21" t="s">
        <v>73</v>
      </c>
      <c r="C116" s="242" t="s">
        <v>80</v>
      </c>
      <c r="D116" s="21"/>
    </row>
    <row r="117" spans="1:4" ht="15">
      <c r="A117" s="52"/>
      <c r="B117" s="33" t="s">
        <v>135</v>
      </c>
      <c r="C117" s="243"/>
      <c r="D117" s="52"/>
    </row>
    <row r="118" spans="1:5" ht="12.75">
      <c r="A118" s="14" t="s">
        <v>26</v>
      </c>
      <c r="B118" s="48" t="s">
        <v>222</v>
      </c>
      <c r="C118" s="6" t="s">
        <v>89</v>
      </c>
      <c r="D118" s="13">
        <v>150</v>
      </c>
      <c r="E118" s="257" t="s">
        <v>178</v>
      </c>
    </row>
    <row r="119" spans="1:5" ht="12.75">
      <c r="A119" s="14" t="s">
        <v>27</v>
      </c>
      <c r="B119" s="23" t="s">
        <v>223</v>
      </c>
      <c r="C119" s="6" t="s">
        <v>89</v>
      </c>
      <c r="D119" s="13">
        <v>54</v>
      </c>
      <c r="E119" s="257" t="s">
        <v>178</v>
      </c>
    </row>
    <row r="120" spans="1:5" ht="25.5">
      <c r="A120" s="14" t="s">
        <v>28</v>
      </c>
      <c r="B120" s="45" t="s">
        <v>224</v>
      </c>
      <c r="C120" s="15" t="s">
        <v>225</v>
      </c>
      <c r="D120" s="13">
        <v>60</v>
      </c>
      <c r="E120" s="257" t="s">
        <v>178</v>
      </c>
    </row>
    <row r="121" spans="1:5" ht="12.75">
      <c r="A121" s="14" t="s">
        <v>29</v>
      </c>
      <c r="B121" s="23" t="s">
        <v>192</v>
      </c>
      <c r="C121" s="15" t="s">
        <v>225</v>
      </c>
      <c r="D121" s="13">
        <v>10</v>
      </c>
      <c r="E121" s="257" t="s">
        <v>178</v>
      </c>
    </row>
    <row r="122" spans="1:5" ht="12.75">
      <c r="A122" s="14" t="s">
        <v>30</v>
      </c>
      <c r="B122" s="130" t="s">
        <v>229</v>
      </c>
      <c r="C122" s="6" t="s">
        <v>225</v>
      </c>
      <c r="D122" s="7">
        <v>10</v>
      </c>
      <c r="E122" s="257" t="s">
        <v>178</v>
      </c>
    </row>
    <row r="123" spans="1:5" ht="25.5">
      <c r="A123" s="14" t="s">
        <v>42</v>
      </c>
      <c r="B123" s="45" t="s">
        <v>226</v>
      </c>
      <c r="C123" s="6" t="s">
        <v>89</v>
      </c>
      <c r="D123" s="7">
        <v>10.8</v>
      </c>
      <c r="E123" s="257" t="s">
        <v>178</v>
      </c>
    </row>
    <row r="124" spans="1:5" ht="12.75">
      <c r="A124" s="14" t="s">
        <v>227</v>
      </c>
      <c r="B124" s="130" t="s">
        <v>118</v>
      </c>
      <c r="C124" s="6" t="s">
        <v>225</v>
      </c>
      <c r="D124" s="7">
        <v>48</v>
      </c>
      <c r="E124" s="257" t="s">
        <v>178</v>
      </c>
    </row>
    <row r="125" spans="1:4" ht="12.75">
      <c r="A125" s="48"/>
      <c r="B125" s="33" t="s">
        <v>241</v>
      </c>
      <c r="C125" s="33" t="s">
        <v>80</v>
      </c>
      <c r="D125" s="33"/>
    </row>
    <row r="126" spans="1:7" ht="15">
      <c r="A126" s="21" t="s">
        <v>131</v>
      </c>
      <c r="B126" s="21" t="s">
        <v>32</v>
      </c>
      <c r="C126" s="242" t="s">
        <v>80</v>
      </c>
      <c r="D126" s="21"/>
      <c r="E126" s="253"/>
      <c r="F126" s="145"/>
      <c r="G126" s="145"/>
    </row>
    <row r="127" spans="1:7" ht="25.5">
      <c r="A127" s="9" t="s">
        <v>31</v>
      </c>
      <c r="B127" s="45" t="s">
        <v>242</v>
      </c>
      <c r="C127" s="6" t="s">
        <v>91</v>
      </c>
      <c r="D127" s="267">
        <f>(20*(0.7*0.7*1))</f>
        <v>9.799999999999999</v>
      </c>
      <c r="E127" s="253" t="s">
        <v>178</v>
      </c>
      <c r="F127" s="254"/>
      <c r="G127" s="145"/>
    </row>
    <row r="128" spans="1:7" ht="12.75">
      <c r="A128" s="9"/>
      <c r="B128" s="56" t="s">
        <v>204</v>
      </c>
      <c r="C128" s="6"/>
      <c r="D128" s="32"/>
      <c r="E128" s="253"/>
      <c r="F128" s="145"/>
      <c r="G128" s="145"/>
    </row>
    <row r="129" spans="1:7" ht="12.75">
      <c r="A129" s="9" t="s">
        <v>72</v>
      </c>
      <c r="B129" s="23" t="s">
        <v>126</v>
      </c>
      <c r="C129" s="6" t="s">
        <v>91</v>
      </c>
      <c r="D129" s="268">
        <f>(23.23+23.23+32+32)*(0.2+(0.4*2))</f>
        <v>110.46000000000001</v>
      </c>
      <c r="E129" s="253" t="s">
        <v>178</v>
      </c>
      <c r="F129" s="255"/>
      <c r="G129" s="145"/>
    </row>
    <row r="130" spans="1:7" ht="27.75" customHeight="1">
      <c r="A130" s="48"/>
      <c r="B130" s="252" t="s">
        <v>202</v>
      </c>
      <c r="C130" s="33" t="s">
        <v>80</v>
      </c>
      <c r="D130" s="33"/>
      <c r="E130" s="253"/>
      <c r="F130" s="145"/>
      <c r="G130" s="145"/>
    </row>
    <row r="131" spans="1:4" ht="12.75">
      <c r="A131" s="48"/>
      <c r="B131" s="23"/>
      <c r="C131" s="33"/>
      <c r="D131" s="33"/>
    </row>
    <row r="132" spans="1:4" ht="15">
      <c r="A132" s="21" t="s">
        <v>132</v>
      </c>
      <c r="B132" s="21" t="s">
        <v>32</v>
      </c>
      <c r="C132" s="242" t="s">
        <v>80</v>
      </c>
      <c r="D132" s="21"/>
    </row>
    <row r="133" spans="1:5" ht="12.75">
      <c r="A133" s="8" t="s">
        <v>47</v>
      </c>
      <c r="B133" s="23" t="s">
        <v>127</v>
      </c>
      <c r="C133" s="6" t="s">
        <v>91</v>
      </c>
      <c r="D133" s="33">
        <v>743.36</v>
      </c>
      <c r="E133" s="36" t="s">
        <v>178</v>
      </c>
    </row>
    <row r="134" spans="1:4" ht="12.75">
      <c r="A134" s="48"/>
      <c r="B134" s="54" t="s">
        <v>136</v>
      </c>
      <c r="C134" s="33"/>
      <c r="D134" s="33"/>
    </row>
    <row r="140" ht="12.75">
      <c r="B140" s="141" t="s">
        <v>159</v>
      </c>
    </row>
    <row r="141" ht="12.75">
      <c r="B141" s="141" t="s">
        <v>160</v>
      </c>
    </row>
    <row r="142" ht="12.75">
      <c r="B142" s="141"/>
    </row>
    <row r="143" ht="12.75">
      <c r="B143" s="141"/>
    </row>
  </sheetData>
  <sheetProtection/>
  <mergeCells count="1">
    <mergeCell ref="A1:D9"/>
  </mergeCells>
  <printOptions/>
  <pageMargins left="0.5118110236220472" right="0.5118110236220472" top="0.7874015748031497" bottom="0.7874015748031497" header="0.31496062992125984" footer="0.31496062992125984"/>
  <pageSetup orientation="portrait" paperSize="9" scale="7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110" zoomScaleSheetLayoutView="110" zoomScalePageLayoutView="0" workbookViewId="0" topLeftCell="A1">
      <selection activeCell="C43" sqref="C43"/>
    </sheetView>
  </sheetViews>
  <sheetFormatPr defaultColWidth="9.140625" defaultRowHeight="12.75"/>
  <cols>
    <col min="1" max="1" width="14.57421875" style="0" customWidth="1"/>
    <col min="3" max="3" width="44.140625" style="0" customWidth="1"/>
    <col min="4" max="4" width="7.28125" style="0" customWidth="1"/>
    <col min="5" max="5" width="10.00390625" style="0" customWidth="1"/>
    <col min="6" max="6" width="10.57421875" style="0" customWidth="1"/>
  </cols>
  <sheetData>
    <row r="1" spans="1:5" ht="14.25">
      <c r="A1" s="61"/>
      <c r="B1" s="61"/>
      <c r="C1" s="61"/>
      <c r="D1" s="61"/>
      <c r="E1" s="61"/>
    </row>
    <row r="2" spans="1:5" ht="14.25">
      <c r="A2" s="61"/>
      <c r="B2" s="61"/>
      <c r="C2" s="61"/>
      <c r="D2" s="61"/>
      <c r="E2" s="61"/>
    </row>
    <row r="3" spans="1:5" ht="14.25">
      <c r="A3" s="61"/>
      <c r="B3" s="61"/>
      <c r="C3" s="61"/>
      <c r="D3" s="61"/>
      <c r="E3" s="61"/>
    </row>
    <row r="4" spans="1:5" ht="14.25">
      <c r="A4" s="61"/>
      <c r="B4" s="61"/>
      <c r="C4" s="61"/>
      <c r="D4" s="61"/>
      <c r="E4" s="61"/>
    </row>
    <row r="5" spans="1:5" ht="14.25">
      <c r="A5" s="61"/>
      <c r="B5" s="61"/>
      <c r="C5" s="61"/>
      <c r="D5" s="61"/>
      <c r="E5" s="61"/>
    </row>
    <row r="6" spans="1:7" ht="12.75">
      <c r="A6" s="277" t="s">
        <v>145</v>
      </c>
      <c r="B6" s="277"/>
      <c r="C6" s="277"/>
      <c r="D6" s="277"/>
      <c r="E6" s="277"/>
      <c r="F6" s="277"/>
      <c r="G6" s="277"/>
    </row>
    <row r="7" spans="1:7" ht="12.75">
      <c r="A7" s="65"/>
      <c r="B7" s="65"/>
      <c r="C7" s="65"/>
      <c r="D7" s="65"/>
      <c r="E7" s="65"/>
      <c r="F7" s="65"/>
      <c r="G7" s="65"/>
    </row>
    <row r="11" spans="1:7" ht="45">
      <c r="A11" s="64" t="s">
        <v>146</v>
      </c>
      <c r="B11" s="66" t="s">
        <v>157</v>
      </c>
      <c r="C11" s="64" t="s">
        <v>156</v>
      </c>
      <c r="D11" s="64" t="s">
        <v>2</v>
      </c>
      <c r="E11" s="64" t="s">
        <v>3</v>
      </c>
      <c r="F11" s="64" t="s">
        <v>154</v>
      </c>
      <c r="G11" s="64" t="s">
        <v>155</v>
      </c>
    </row>
    <row r="12" spans="1:7" ht="24">
      <c r="A12" s="62" t="s">
        <v>147</v>
      </c>
      <c r="B12" s="62" t="s">
        <v>148</v>
      </c>
      <c r="C12" s="63" t="s">
        <v>149</v>
      </c>
      <c r="D12" s="62" t="s">
        <v>150</v>
      </c>
      <c r="E12" s="62">
        <v>0.3</v>
      </c>
      <c r="F12" s="23">
        <v>15.56</v>
      </c>
      <c r="G12" s="23">
        <f>E12*F12</f>
        <v>4.668</v>
      </c>
    </row>
    <row r="13" spans="1:7" ht="12.75">
      <c r="A13" s="62" t="s">
        <v>147</v>
      </c>
      <c r="B13" s="62" t="s">
        <v>151</v>
      </c>
      <c r="C13" s="63" t="s">
        <v>152</v>
      </c>
      <c r="D13" s="62" t="s">
        <v>150</v>
      </c>
      <c r="E13" s="62">
        <v>0.73</v>
      </c>
      <c r="F13" s="23">
        <v>10.78</v>
      </c>
      <c r="G13" s="23">
        <f>E13*F13</f>
        <v>7.8694</v>
      </c>
    </row>
    <row r="14" spans="1:8" ht="39.75" customHeight="1">
      <c r="A14" s="62" t="s">
        <v>153</v>
      </c>
      <c r="B14" s="62">
        <v>393</v>
      </c>
      <c r="C14" s="63" t="s">
        <v>156</v>
      </c>
      <c r="D14" s="62" t="s">
        <v>133</v>
      </c>
      <c r="E14" s="62">
        <v>1</v>
      </c>
      <c r="F14" s="259">
        <v>1.07</v>
      </c>
      <c r="G14" s="259">
        <f>E14*F14</f>
        <v>1.07</v>
      </c>
      <c r="H14" s="260"/>
    </row>
    <row r="15" spans="1:7" ht="15">
      <c r="A15" s="278" t="s">
        <v>155</v>
      </c>
      <c r="B15" s="279"/>
      <c r="C15" s="279"/>
      <c r="D15" s="279"/>
      <c r="E15" s="279"/>
      <c r="F15" s="280"/>
      <c r="G15" s="218">
        <f>ROUND(SUM(G12:G14),2)</f>
        <v>13.61</v>
      </c>
    </row>
    <row r="18" spans="1:7" ht="36">
      <c r="A18" s="64" t="s">
        <v>243</v>
      </c>
      <c r="B18" s="66" t="s">
        <v>246</v>
      </c>
      <c r="C18" s="64" t="s">
        <v>247</v>
      </c>
      <c r="D18" s="64" t="s">
        <v>133</v>
      </c>
      <c r="E18" s="66" t="s">
        <v>80</v>
      </c>
      <c r="F18" s="64" t="s">
        <v>154</v>
      </c>
      <c r="G18" s="64" t="s">
        <v>155</v>
      </c>
    </row>
    <row r="19" spans="1:7" ht="24">
      <c r="A19" s="62" t="s">
        <v>147</v>
      </c>
      <c r="B19" s="62" t="s">
        <v>244</v>
      </c>
      <c r="C19" s="63" t="s">
        <v>245</v>
      </c>
      <c r="D19" s="62" t="s">
        <v>150</v>
      </c>
      <c r="E19" s="62">
        <v>0.4</v>
      </c>
      <c r="F19" s="23">
        <v>15.56</v>
      </c>
      <c r="G19" s="23">
        <f>E19*F19</f>
        <v>6.224</v>
      </c>
    </row>
    <row r="20" spans="1:7" ht="12.75">
      <c r="A20" s="62" t="s">
        <v>147</v>
      </c>
      <c r="B20" s="62" t="s">
        <v>151</v>
      </c>
      <c r="C20" s="63" t="s">
        <v>152</v>
      </c>
      <c r="D20" s="62" t="s">
        <v>150</v>
      </c>
      <c r="E20" s="62">
        <v>0.4</v>
      </c>
      <c r="F20" s="23">
        <v>10.78</v>
      </c>
      <c r="G20" s="23">
        <f>E20*F20</f>
        <v>4.312</v>
      </c>
    </row>
    <row r="21" spans="1:7" ht="27" customHeight="1">
      <c r="A21" s="62" t="s">
        <v>153</v>
      </c>
      <c r="B21" s="62">
        <v>3909</v>
      </c>
      <c r="C21" s="63" t="s">
        <v>248</v>
      </c>
      <c r="D21" s="62" t="s">
        <v>133</v>
      </c>
      <c r="E21" s="62">
        <v>1</v>
      </c>
      <c r="F21" s="23">
        <v>3.82</v>
      </c>
      <c r="G21" s="23">
        <f>E21*F21</f>
        <v>3.82</v>
      </c>
    </row>
    <row r="22" spans="1:7" ht="15">
      <c r="A22" s="278" t="s">
        <v>155</v>
      </c>
      <c r="B22" s="279"/>
      <c r="C22" s="279"/>
      <c r="D22" s="279"/>
      <c r="E22" s="279"/>
      <c r="F22" s="280"/>
      <c r="G22" s="218">
        <f>ROUND(SUM(G19:G21),2)</f>
        <v>14.36</v>
      </c>
    </row>
    <row r="25" spans="1:7" ht="36">
      <c r="A25" s="64" t="s">
        <v>243</v>
      </c>
      <c r="B25" s="66" t="s">
        <v>246</v>
      </c>
      <c r="C25" s="64" t="s">
        <v>250</v>
      </c>
      <c r="D25" s="64" t="s">
        <v>133</v>
      </c>
      <c r="E25" s="66" t="s">
        <v>80</v>
      </c>
      <c r="F25" s="64" t="s">
        <v>154</v>
      </c>
      <c r="G25" s="64" t="s">
        <v>155</v>
      </c>
    </row>
    <row r="26" spans="1:7" ht="24">
      <c r="A26" s="62" t="s">
        <v>147</v>
      </c>
      <c r="B26" s="62" t="s">
        <v>244</v>
      </c>
      <c r="C26" s="63" t="s">
        <v>245</v>
      </c>
      <c r="D26" s="62" t="s">
        <v>150</v>
      </c>
      <c r="E26" s="62">
        <v>0.4</v>
      </c>
      <c r="F26" s="23">
        <v>15.56</v>
      </c>
      <c r="G26" s="23">
        <f>E26*F26</f>
        <v>6.224</v>
      </c>
    </row>
    <row r="27" spans="1:7" ht="12.75">
      <c r="A27" s="62" t="s">
        <v>147</v>
      </c>
      <c r="B27" s="62" t="s">
        <v>151</v>
      </c>
      <c r="C27" s="63" t="s">
        <v>152</v>
      </c>
      <c r="D27" s="62" t="s">
        <v>150</v>
      </c>
      <c r="E27" s="62">
        <v>0.4</v>
      </c>
      <c r="F27" s="23">
        <v>10.78</v>
      </c>
      <c r="G27" s="23">
        <f>E27*F27</f>
        <v>4.312</v>
      </c>
    </row>
    <row r="28" spans="1:7" ht="24.75" customHeight="1">
      <c r="A28" s="62" t="s">
        <v>153</v>
      </c>
      <c r="B28" s="62">
        <v>3939</v>
      </c>
      <c r="C28" s="63" t="s">
        <v>249</v>
      </c>
      <c r="D28" s="62" t="s">
        <v>133</v>
      </c>
      <c r="E28" s="62">
        <v>1</v>
      </c>
      <c r="F28" s="23">
        <v>10.72</v>
      </c>
      <c r="G28" s="23">
        <f>E28*F28</f>
        <v>10.72</v>
      </c>
    </row>
    <row r="29" spans="1:7" ht="15">
      <c r="A29" s="278" t="s">
        <v>155</v>
      </c>
      <c r="B29" s="279"/>
      <c r="C29" s="279"/>
      <c r="D29" s="279"/>
      <c r="E29" s="279"/>
      <c r="F29" s="280"/>
      <c r="G29" s="218">
        <f>ROUND(SUM(G26:G28),2)</f>
        <v>21.26</v>
      </c>
    </row>
    <row r="33" ht="12.75">
      <c r="C33" s="141" t="s">
        <v>159</v>
      </c>
    </row>
    <row r="34" ht="12.75">
      <c r="C34" s="141" t="s">
        <v>160</v>
      </c>
    </row>
  </sheetData>
  <sheetProtection/>
  <mergeCells count="4">
    <mergeCell ref="A6:G6"/>
    <mergeCell ref="A15:F15"/>
    <mergeCell ref="A22:F22"/>
    <mergeCell ref="A29:F29"/>
  </mergeCells>
  <conditionalFormatting sqref="A12:E14">
    <cfRule type="expression" priority="15" dxfId="11" stopIfTrue="1">
      <formula>AND($A12&lt;&gt;"COMPOSICAO",$A12&lt;&gt;"INSUMO",$A12&lt;&gt;"")</formula>
    </cfRule>
    <cfRule type="expression" priority="16" dxfId="12" stopIfTrue="1">
      <formula>AND(OR($A12="COMPOSICAO",$A12="INSUMO",$A12&lt;&gt;""),$A12&lt;&gt;"")</formula>
    </cfRule>
  </conditionalFormatting>
  <conditionalFormatting sqref="A19:E21">
    <cfRule type="expression" priority="3" dxfId="11" stopIfTrue="1">
      <formula>AND($A19&lt;&gt;"COMPOSICAO",$A19&lt;&gt;"INSUMO",$A19&lt;&gt;"")</formula>
    </cfRule>
    <cfRule type="expression" priority="4" dxfId="12" stopIfTrue="1">
      <formula>AND(OR($A19="COMPOSICAO",$A19="INSUMO",$A19&lt;&gt;""),$A19&lt;&gt;"")</formula>
    </cfRule>
  </conditionalFormatting>
  <conditionalFormatting sqref="A26:E28">
    <cfRule type="expression" priority="1" dxfId="11" stopIfTrue="1">
      <formula>AND($A26&lt;&gt;"COMPOSICAO",$A26&lt;&gt;"INSUMO",$A26&lt;&gt;"")</formula>
    </cfRule>
    <cfRule type="expression" priority="2" dxfId="12" stopIfTrue="1">
      <formula>AND(OR($A26="COMPOSICAO",$A26="INSUMO",$A26&lt;&gt;""),$A26&lt;&gt;"")</formula>
    </cfRule>
  </conditionalFormatting>
  <printOptions/>
  <pageMargins left="0.511811024" right="0.511811024" top="0.787401575" bottom="0.787401575" header="0.31496062" footer="0.31496062"/>
  <pageSetup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0" zoomScaleSheetLayoutView="80" zoomScalePageLayoutView="0" workbookViewId="0" topLeftCell="A10">
      <selection activeCell="C11" sqref="C11"/>
    </sheetView>
  </sheetViews>
  <sheetFormatPr defaultColWidth="9.140625" defaultRowHeight="12.75"/>
  <cols>
    <col min="1" max="1" width="11.57421875" style="34" customWidth="1"/>
    <col min="2" max="2" width="55.00390625" style="0" customWidth="1"/>
    <col min="3" max="3" width="17.7109375" style="0" customWidth="1"/>
    <col min="4" max="4" width="23.28125" style="0" customWidth="1"/>
    <col min="5" max="5" width="16.140625" style="0" customWidth="1"/>
    <col min="6" max="6" width="17.7109375" style="0" customWidth="1"/>
    <col min="7" max="7" width="13.8515625" style="0" customWidth="1"/>
    <col min="8" max="8" width="15.140625" style="0" customWidth="1"/>
    <col min="9" max="9" width="14.8515625" style="0" customWidth="1"/>
    <col min="10" max="10" width="18.421875" style="0" customWidth="1"/>
  </cols>
  <sheetData>
    <row r="1" ht="12.75">
      <c r="D1" s="34"/>
    </row>
    <row r="2" ht="12.75">
      <c r="D2" s="34"/>
    </row>
    <row r="3" ht="12.75">
      <c r="D3" s="34"/>
    </row>
    <row r="4" ht="12.75">
      <c r="D4" s="34"/>
    </row>
    <row r="5" ht="12.75">
      <c r="D5" s="34"/>
    </row>
    <row r="6" spans="4:10" ht="12.75">
      <c r="D6" s="34"/>
      <c r="J6" s="145"/>
    </row>
    <row r="7" spans="1:10" ht="12.75">
      <c r="A7" s="146"/>
      <c r="B7" s="145"/>
      <c r="C7" s="145"/>
      <c r="D7" s="146"/>
      <c r="E7" s="145"/>
      <c r="F7" s="145"/>
      <c r="G7" s="145"/>
      <c r="H7" s="147"/>
      <c r="I7" s="145"/>
      <c r="J7" s="145"/>
    </row>
    <row r="8" spans="1:10" ht="15.75">
      <c r="A8" s="208"/>
      <c r="B8" s="148"/>
      <c r="C8" s="149"/>
      <c r="D8" s="150"/>
      <c r="E8" s="151"/>
      <c r="F8" s="149"/>
      <c r="G8" s="152"/>
      <c r="H8" s="151"/>
      <c r="I8" s="152"/>
      <c r="J8" s="152"/>
    </row>
    <row r="9" spans="1:10" ht="15.75">
      <c r="A9" s="208"/>
      <c r="B9" s="148"/>
      <c r="C9" s="149"/>
      <c r="D9" s="150"/>
      <c r="E9" s="151"/>
      <c r="F9" s="149"/>
      <c r="G9" s="152"/>
      <c r="H9" s="151"/>
      <c r="I9" s="152"/>
      <c r="J9" s="152"/>
    </row>
    <row r="10" spans="1:10" ht="12.75">
      <c r="A10" s="209"/>
      <c r="B10" s="149"/>
      <c r="C10" s="149"/>
      <c r="D10" s="150"/>
      <c r="E10" s="151"/>
      <c r="F10" s="153"/>
      <c r="G10" s="152"/>
      <c r="H10" s="152"/>
      <c r="I10" s="152"/>
      <c r="J10" s="152"/>
    </row>
    <row r="11" spans="1:10" ht="12.75">
      <c r="A11" s="209"/>
      <c r="B11" s="149"/>
      <c r="C11" s="149"/>
      <c r="D11" s="150"/>
      <c r="E11" s="151"/>
      <c r="F11" s="153"/>
      <c r="G11" s="152"/>
      <c r="H11" s="152"/>
      <c r="I11" s="152"/>
      <c r="J11" s="152"/>
    </row>
    <row r="12" spans="1:10" ht="12.75">
      <c r="A12" s="209"/>
      <c r="B12" s="149"/>
      <c r="C12" s="149"/>
      <c r="D12" s="150"/>
      <c r="E12" s="151"/>
      <c r="F12" s="153"/>
      <c r="G12" s="152"/>
      <c r="H12" s="152"/>
      <c r="I12" s="152"/>
      <c r="J12" s="152"/>
    </row>
    <row r="13" spans="2:10" ht="18">
      <c r="B13" s="210" t="s">
        <v>174</v>
      </c>
      <c r="C13" s="148"/>
      <c r="D13" s="154"/>
      <c r="E13" s="155"/>
      <c r="F13" s="148"/>
      <c r="G13" s="156"/>
      <c r="H13" s="155"/>
      <c r="I13" s="156"/>
      <c r="J13" s="156"/>
    </row>
    <row r="14" spans="2:10" ht="15.75">
      <c r="B14" s="208" t="s">
        <v>161</v>
      </c>
      <c r="C14" s="148"/>
      <c r="D14" s="154"/>
      <c r="E14" s="155"/>
      <c r="F14" s="148"/>
      <c r="G14" s="156"/>
      <c r="H14" s="155"/>
      <c r="I14" s="156"/>
      <c r="J14" s="156"/>
    </row>
    <row r="15" spans="1:10" ht="15.75">
      <c r="A15" s="208"/>
      <c r="B15" s="148"/>
      <c r="C15" s="148"/>
      <c r="D15" s="154"/>
      <c r="E15" s="155"/>
      <c r="F15" s="157"/>
      <c r="G15" s="156"/>
      <c r="H15" s="156"/>
      <c r="I15" s="156"/>
      <c r="J15" s="156"/>
    </row>
    <row r="16" spans="1:10" ht="15">
      <c r="A16" s="159"/>
      <c r="B16" s="158"/>
      <c r="C16" s="159"/>
      <c r="D16" s="159"/>
      <c r="E16" s="158"/>
      <c r="F16" s="158"/>
      <c r="G16" s="158"/>
      <c r="H16" s="156"/>
      <c r="I16" s="156"/>
      <c r="J16" s="156"/>
    </row>
    <row r="17" spans="1:10" ht="20.25">
      <c r="A17" s="162"/>
      <c r="B17" s="281" t="s">
        <v>162</v>
      </c>
      <c r="C17" s="281"/>
      <c r="D17" s="281"/>
      <c r="E17" s="281"/>
      <c r="F17" s="281"/>
      <c r="G17" s="281"/>
      <c r="H17" s="281"/>
      <c r="I17" s="281"/>
      <c r="J17" s="281"/>
    </row>
    <row r="18" spans="1:10" ht="15.75">
      <c r="A18" s="162"/>
      <c r="B18" s="161" t="s">
        <v>163</v>
      </c>
      <c r="C18" s="162" t="s">
        <v>164</v>
      </c>
      <c r="D18" s="162" t="s">
        <v>165</v>
      </c>
      <c r="E18" s="160"/>
      <c r="F18" s="163" t="s">
        <v>166</v>
      </c>
      <c r="G18" s="163" t="s">
        <v>167</v>
      </c>
      <c r="H18" s="163" t="s">
        <v>168</v>
      </c>
      <c r="I18" s="161" t="s">
        <v>169</v>
      </c>
      <c r="J18" s="161" t="s">
        <v>170</v>
      </c>
    </row>
    <row r="19" spans="1:10" ht="15.75">
      <c r="A19" s="211" t="str">
        <f>'COBERTURA DE QUADRA'!A16</f>
        <v>1.0</v>
      </c>
      <c r="B19" s="164" t="str">
        <f>'COBERTURA DE QUADRA'!D16</f>
        <v>SERVIÇOS PRELIMINARES </v>
      </c>
      <c r="C19" s="165">
        <f>'COBERTURA DE QUADRA'!I25</f>
        <v>8378.153600000001</v>
      </c>
      <c r="D19" s="166">
        <f>C19*C38</f>
        <v>10577.418920000002</v>
      </c>
      <c r="E19" s="167"/>
      <c r="F19" s="168">
        <f>F20*D19</f>
        <v>10577.418920000002</v>
      </c>
      <c r="G19" s="169"/>
      <c r="H19" s="169"/>
      <c r="I19" s="169"/>
      <c r="J19" s="169"/>
    </row>
    <row r="20" spans="1:10" ht="15.75">
      <c r="A20" s="212"/>
      <c r="B20" s="170"/>
      <c r="C20" s="171"/>
      <c r="D20" s="172"/>
      <c r="E20" s="173"/>
      <c r="F20" s="174">
        <v>1</v>
      </c>
      <c r="G20" s="160"/>
      <c r="H20" s="160"/>
      <c r="I20" s="160"/>
      <c r="J20" s="160"/>
    </row>
    <row r="21" spans="1:10" ht="26.25" customHeight="1">
      <c r="A21" s="196" t="str">
        <f>'COBERTURA DE QUADRA'!A27</f>
        <v>2.0</v>
      </c>
      <c r="B21" s="175" t="str">
        <f>'COBERTURA DE QUADRA'!D27</f>
        <v>MOVIMENTO DE TERRA</v>
      </c>
      <c r="C21" s="165">
        <f>'COBERTURA DE QUADRA'!I31</f>
        <v>5751.555899999999</v>
      </c>
      <c r="D21" s="166">
        <f>C21*C38</f>
        <v>7261.339323749999</v>
      </c>
      <c r="E21" s="167"/>
      <c r="F21" s="176">
        <f>D21*F22</f>
        <v>3630.6696618749993</v>
      </c>
      <c r="G21" s="176">
        <f>D21*G22</f>
        <v>3630.6696618749993</v>
      </c>
      <c r="H21" s="177"/>
      <c r="I21" s="177"/>
      <c r="J21" s="177"/>
    </row>
    <row r="22" spans="1:10" ht="15.75">
      <c r="A22" s="213"/>
      <c r="B22" s="178"/>
      <c r="C22" s="171"/>
      <c r="D22" s="179"/>
      <c r="E22" s="173"/>
      <c r="F22" s="180">
        <v>0.5</v>
      </c>
      <c r="G22" s="180">
        <v>0.5</v>
      </c>
      <c r="H22" s="181"/>
      <c r="I22" s="181"/>
      <c r="J22" s="181"/>
    </row>
    <row r="23" spans="1:10" ht="15.75">
      <c r="A23" s="214" t="str">
        <f>'COBERTURA DE QUADRA'!A33</f>
        <v>3.0</v>
      </c>
      <c r="B23" s="182" t="str">
        <f>'COBERTURA DE QUADRA'!D33</f>
        <v> FUNDAÇÃO</v>
      </c>
      <c r="C23" s="165">
        <f>'COBERTURA DE QUADRA'!I51</f>
        <v>35261.7998</v>
      </c>
      <c r="D23" s="166">
        <f>C23*C38</f>
        <v>44518.0222475</v>
      </c>
      <c r="E23" s="167"/>
      <c r="F23" s="168">
        <f>D23*F24</f>
        <v>22259.01112375</v>
      </c>
      <c r="G23" s="168">
        <f>D23*G24</f>
        <v>22259.01112375</v>
      </c>
      <c r="H23" s="183"/>
      <c r="I23" s="184"/>
      <c r="J23" s="169"/>
    </row>
    <row r="24" spans="1:10" ht="15.75">
      <c r="A24" s="212"/>
      <c r="B24" s="185"/>
      <c r="C24" s="171"/>
      <c r="D24" s="172"/>
      <c r="E24" s="173"/>
      <c r="F24" s="174">
        <v>0.5</v>
      </c>
      <c r="G24" s="174">
        <v>0.5</v>
      </c>
      <c r="H24" s="186"/>
      <c r="I24" s="187"/>
      <c r="J24" s="160"/>
    </row>
    <row r="25" spans="1:10" ht="15.75">
      <c r="A25" s="197" t="str">
        <f>'COBERTURA DE QUADRA'!A53</f>
        <v>4.0</v>
      </c>
      <c r="B25" s="175" t="str">
        <f>'COBERTURA DE QUADRA'!D53</f>
        <v>ESTRUTURA METÁLICA E COBERTURA</v>
      </c>
      <c r="C25" s="165">
        <f>'COBERTURA DE QUADRA'!I59</f>
        <v>129944.43400000001</v>
      </c>
      <c r="D25" s="166">
        <f>C25*C38</f>
        <v>164054.847925</v>
      </c>
      <c r="E25" s="167"/>
      <c r="F25" s="188"/>
      <c r="G25" s="176">
        <f>D25*G26</f>
        <v>32810.969585000006</v>
      </c>
      <c r="H25" s="176">
        <f>D25*H26</f>
        <v>114838.3935475</v>
      </c>
      <c r="I25" s="176">
        <f>D25*I26</f>
        <v>16405.484792500003</v>
      </c>
      <c r="J25" s="189"/>
    </row>
    <row r="26" spans="1:10" ht="15.75">
      <c r="A26" s="213"/>
      <c r="B26" s="178"/>
      <c r="C26" s="171"/>
      <c r="D26" s="179"/>
      <c r="E26" s="173"/>
      <c r="F26" s="180"/>
      <c r="G26" s="180">
        <v>0.2</v>
      </c>
      <c r="H26" s="180">
        <v>0.7</v>
      </c>
      <c r="I26" s="180">
        <v>0.1</v>
      </c>
      <c r="J26" s="191"/>
    </row>
    <row r="27" spans="1:10" ht="15.75">
      <c r="A27" s="197" t="str">
        <f>'COBERTURA DE QUADRA'!A61</f>
        <v>5.0</v>
      </c>
      <c r="B27" s="175" t="str">
        <f>'COBERTURA DE QUADRA'!D61</f>
        <v>INSTALAÇÕES ELÉTRICAS - 220V</v>
      </c>
      <c r="C27" s="165">
        <f>'COBERTURA DE QUADRA'!I87</f>
        <v>11200.111799999999</v>
      </c>
      <c r="D27" s="166">
        <f>C27*C38</f>
        <v>14140.141147499999</v>
      </c>
      <c r="E27" s="169"/>
      <c r="F27" s="175"/>
      <c r="G27" s="175"/>
      <c r="H27" s="175"/>
      <c r="I27" s="167">
        <f>D27*I28</f>
        <v>7070.070573749999</v>
      </c>
      <c r="J27" s="176">
        <f>D27*J28</f>
        <v>7070.070573749999</v>
      </c>
    </row>
    <row r="28" spans="1:10" ht="15.75">
      <c r="A28" s="213"/>
      <c r="B28" s="178"/>
      <c r="C28" s="171"/>
      <c r="D28" s="172"/>
      <c r="E28" s="160"/>
      <c r="F28" s="160"/>
      <c r="G28" s="160"/>
      <c r="H28" s="160"/>
      <c r="I28" s="193">
        <v>0.5</v>
      </c>
      <c r="J28" s="180">
        <v>0.5</v>
      </c>
    </row>
    <row r="29" spans="1:10" ht="31.5">
      <c r="A29" s="197" t="str">
        <f>'COBERTURA DE QUADRA'!A89</f>
        <v>6.0</v>
      </c>
      <c r="B29" s="207" t="str">
        <f>'COBERTURA DE QUADRA'!D89</f>
        <v>SISTEMA DE PROTEÇÃO CONTRA DESCARGA ATMOSFÉRICA (SPDA)</v>
      </c>
      <c r="C29" s="165">
        <f>'COBERTURA DE QUADRA'!I97</f>
        <v>7525.336</v>
      </c>
      <c r="D29" s="166">
        <f>C29*C38</f>
        <v>9500.7367</v>
      </c>
      <c r="E29" s="169"/>
      <c r="F29" s="169"/>
      <c r="G29" s="169"/>
      <c r="H29" s="194">
        <f>D29*H30</f>
        <v>4750.36835</v>
      </c>
      <c r="I29" s="194">
        <f>D29*I30</f>
        <v>4750.36835</v>
      </c>
      <c r="J29" s="190"/>
    </row>
    <row r="30" spans="1:10" ht="15.75">
      <c r="A30" s="213"/>
      <c r="B30" s="178"/>
      <c r="C30" s="171"/>
      <c r="D30" s="179"/>
      <c r="E30" s="160"/>
      <c r="F30" s="160"/>
      <c r="G30" s="163"/>
      <c r="H30" s="193">
        <v>0.5</v>
      </c>
      <c r="I30" s="193">
        <v>0.5</v>
      </c>
      <c r="J30" s="180"/>
    </row>
    <row r="31" spans="1:10" ht="15.75">
      <c r="A31" s="197" t="str">
        <f>'COBERTURA DE QUADRA'!A99</f>
        <v>7.0</v>
      </c>
      <c r="B31" s="175" t="str">
        <f>'COBERTURA DE QUADRA'!D99</f>
        <v>SERVIÇOS DIVERSOS</v>
      </c>
      <c r="C31" s="165">
        <f>'COBERTURA DE QUADRA'!I102</f>
        <v>893.7446</v>
      </c>
      <c r="D31" s="166">
        <f>C31*C38</f>
        <v>1128.3525574999999</v>
      </c>
      <c r="E31" s="169"/>
      <c r="F31" s="169"/>
      <c r="G31" s="194">
        <f>D31*G32</f>
        <v>1128.3525574999999</v>
      </c>
      <c r="H31" s="175"/>
      <c r="I31" s="175"/>
      <c r="J31" s="188"/>
    </row>
    <row r="32" spans="1:10" ht="15.75">
      <c r="A32" s="213"/>
      <c r="B32" s="178"/>
      <c r="C32" s="171"/>
      <c r="D32" s="172"/>
      <c r="E32" s="160"/>
      <c r="F32" s="160"/>
      <c r="G32" s="193">
        <v>1</v>
      </c>
      <c r="H32" s="163"/>
      <c r="I32" s="163"/>
      <c r="J32" s="180"/>
    </row>
    <row r="33" spans="1:10" ht="15.75">
      <c r="A33" s="197" t="str">
        <f>'COBERTURA DE QUADRA'!A104</f>
        <v>8.0</v>
      </c>
      <c r="B33" s="175" t="str">
        <f>'COBERTURA DE QUADRA'!D104</f>
        <v>SERVIÇOS DIVERSOS</v>
      </c>
      <c r="C33" s="165">
        <f>'COBERTURA DE QUADRA'!I106</f>
        <v>1248.8448</v>
      </c>
      <c r="D33" s="166">
        <f>C33*C38</f>
        <v>1576.6665600000001</v>
      </c>
      <c r="E33" s="169"/>
      <c r="F33" s="169"/>
      <c r="G33" s="175"/>
      <c r="H33" s="175"/>
      <c r="I33" s="194">
        <f>D33*I34</f>
        <v>788.3332800000001</v>
      </c>
      <c r="J33" s="176">
        <f>D33*J34</f>
        <v>788.3332800000001</v>
      </c>
    </row>
    <row r="34" spans="1:10" ht="15.75">
      <c r="A34" s="213"/>
      <c r="B34" s="178"/>
      <c r="C34" s="171"/>
      <c r="D34" s="179"/>
      <c r="E34" s="160"/>
      <c r="F34" s="160"/>
      <c r="G34" s="163"/>
      <c r="H34" s="163"/>
      <c r="I34" s="193">
        <v>0.5</v>
      </c>
      <c r="J34" s="180">
        <v>0.5</v>
      </c>
    </row>
    <row r="35" spans="1:10" ht="15.75">
      <c r="A35" s="213"/>
      <c r="B35" s="178"/>
      <c r="C35" s="198"/>
      <c r="D35" s="162"/>
      <c r="E35" s="160"/>
      <c r="F35" s="160"/>
      <c r="G35" s="160"/>
      <c r="H35" s="160"/>
      <c r="I35" s="160"/>
      <c r="J35" s="192"/>
    </row>
    <row r="36" spans="1:10" ht="15.75">
      <c r="A36" s="213"/>
      <c r="B36" s="163" t="s">
        <v>171</v>
      </c>
      <c r="C36" s="171">
        <f>SUM(C19:C34)</f>
        <v>200203.9805</v>
      </c>
      <c r="D36" s="200">
        <f>SUM(D19:D34)</f>
        <v>252757.52538125002</v>
      </c>
      <c r="E36" s="160"/>
      <c r="F36" s="160"/>
      <c r="G36" s="160"/>
      <c r="H36" s="160"/>
      <c r="I36" s="160"/>
      <c r="J36" s="160"/>
    </row>
    <row r="37" spans="1:10" ht="15.75">
      <c r="A37" s="162"/>
      <c r="B37" s="160"/>
      <c r="C37" s="172"/>
      <c r="D37" s="162"/>
      <c r="E37" s="161" t="s">
        <v>172</v>
      </c>
      <c r="F37" s="186">
        <f>F19+F21+F23</f>
        <v>36467.099705625</v>
      </c>
      <c r="G37" s="186">
        <f>G21+G23+G25+G31</f>
        <v>59829.00292812501</v>
      </c>
      <c r="H37" s="186">
        <f>H25+H29</f>
        <v>119588.76189750001</v>
      </c>
      <c r="I37" s="186">
        <f>I25+I27+I33+I29</f>
        <v>29014.256996250002</v>
      </c>
      <c r="J37" s="186">
        <f>J27+J33</f>
        <v>7858.403853749999</v>
      </c>
    </row>
    <row r="38" spans="1:10" ht="15.75">
      <c r="A38" s="162"/>
      <c r="B38" s="201" t="s">
        <v>175</v>
      </c>
      <c r="C38" s="202">
        <v>1.2625</v>
      </c>
      <c r="D38" s="200">
        <f>D36</f>
        <v>252757.52538125002</v>
      </c>
      <c r="E38" s="160"/>
      <c r="F38" s="192">
        <f>F37/D38</f>
        <v>0.1442770087680649</v>
      </c>
      <c r="G38" s="192">
        <f>G37/D38</f>
        <v>0.23670513009605224</v>
      </c>
      <c r="H38" s="192">
        <f>H37/D38</f>
        <v>0.4731363060985693</v>
      </c>
      <c r="I38" s="192">
        <f>I37/D38</f>
        <v>0.11479087300164843</v>
      </c>
      <c r="J38" s="192">
        <f>J37/D38</f>
        <v>0.031090682035665115</v>
      </c>
    </row>
    <row r="39" spans="1:10" ht="36" customHeight="1">
      <c r="A39" s="162"/>
      <c r="B39" s="160"/>
      <c r="C39" s="162"/>
      <c r="D39" s="199"/>
      <c r="E39" s="203" t="s">
        <v>173</v>
      </c>
      <c r="F39" s="186">
        <f>F37</f>
        <v>36467.099705625</v>
      </c>
      <c r="G39" s="186">
        <f aca="true" t="shared" si="0" ref="G39:J40">G37+F39</f>
        <v>96296.10263375001</v>
      </c>
      <c r="H39" s="186">
        <f t="shared" si="0"/>
        <v>215884.86453125003</v>
      </c>
      <c r="I39" s="186">
        <f t="shared" si="0"/>
        <v>244899.12152750004</v>
      </c>
      <c r="J39" s="186">
        <f t="shared" si="0"/>
        <v>252757.52538125005</v>
      </c>
    </row>
    <row r="40" spans="1:10" ht="15">
      <c r="A40" s="162"/>
      <c r="B40" s="160"/>
      <c r="C40" s="162"/>
      <c r="D40" s="162"/>
      <c r="E40" s="160"/>
      <c r="F40" s="195">
        <f>F38</f>
        <v>0.1442770087680649</v>
      </c>
      <c r="G40" s="195">
        <f t="shared" si="0"/>
        <v>0.38098213886411714</v>
      </c>
      <c r="H40" s="195">
        <f t="shared" si="0"/>
        <v>0.8541184449626864</v>
      </c>
      <c r="I40" s="195">
        <f t="shared" si="0"/>
        <v>0.9689093179643349</v>
      </c>
      <c r="J40" s="195">
        <f t="shared" si="0"/>
        <v>1</v>
      </c>
    </row>
    <row r="41" spans="3:4" ht="12.75">
      <c r="C41" s="34"/>
      <c r="D41" s="34"/>
    </row>
    <row r="42" ht="12.75">
      <c r="D42" s="34"/>
    </row>
    <row r="43" ht="12.75">
      <c r="D43" s="34"/>
    </row>
    <row r="44" ht="12.75">
      <c r="D44" s="34"/>
    </row>
    <row r="45" spans="3:5" ht="18.75">
      <c r="C45" s="204"/>
      <c r="D45" s="205" t="s">
        <v>159</v>
      </c>
      <c r="E45" s="204"/>
    </row>
    <row r="46" spans="3:5" ht="18.75">
      <c r="C46" s="204"/>
      <c r="D46" s="206" t="s">
        <v>160</v>
      </c>
      <c r="E46" s="204"/>
    </row>
  </sheetData>
  <sheetProtection/>
  <mergeCells count="1">
    <mergeCell ref="B17:J17"/>
  </mergeCells>
  <printOptions/>
  <pageMargins left="0.511811024" right="0.511811024" top="0.787401575" bottom="0.787401575" header="0.31496062" footer="0.31496062"/>
  <pageSetup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</dc:creator>
  <cp:keywords/>
  <dc:description/>
  <cp:lastModifiedBy>sandra</cp:lastModifiedBy>
  <cp:lastPrinted>2016-06-02T20:35:04Z</cp:lastPrinted>
  <dcterms:created xsi:type="dcterms:W3CDTF">2006-04-21T19:06:23Z</dcterms:created>
  <dcterms:modified xsi:type="dcterms:W3CDTF">2016-06-02T20:35:05Z</dcterms:modified>
  <cp:category/>
  <cp:version/>
  <cp:contentType/>
  <cp:contentStatus/>
</cp:coreProperties>
</file>